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60" windowWidth="28695" windowHeight="12780" activeTab="2"/>
  </bookViews>
  <sheets>
    <sheet name="ig.csapat" sheetId="1" r:id="rId1"/>
    <sheet name="am.csapat" sheetId="2" r:id="rId2"/>
    <sheet name="egyéni" sheetId="3" r:id="rId3"/>
    <sheet name="páros" sheetId="4" r:id="rId4"/>
  </sheets>
  <calcPr calcId="152511"/>
</workbook>
</file>

<file path=xl/calcChain.xml><?xml version="1.0" encoding="utf-8"?>
<calcChain xmlns="http://schemas.openxmlformats.org/spreadsheetml/2006/main">
  <c r="D49" i="3" l="1"/>
  <c r="E47" i="1"/>
  <c r="F47" i="1"/>
  <c r="G47" i="1"/>
  <c r="H47" i="1"/>
  <c r="D47" i="1"/>
  <c r="E27" i="1" l="1"/>
  <c r="D27" i="1"/>
  <c r="H27" i="1" s="1"/>
  <c r="E26" i="1"/>
  <c r="D26" i="1"/>
  <c r="E25" i="1"/>
  <c r="D25" i="1"/>
  <c r="E24" i="1"/>
  <c r="D24" i="1"/>
  <c r="E39" i="1"/>
  <c r="D39" i="1"/>
  <c r="H39" i="1" s="1"/>
  <c r="E38" i="1"/>
  <c r="D38" i="1"/>
  <c r="H38" i="1" s="1"/>
  <c r="E37" i="1"/>
  <c r="D37" i="1"/>
  <c r="E36" i="1"/>
  <c r="D36" i="1"/>
  <c r="H36" i="1" s="1"/>
  <c r="E11" i="1"/>
  <c r="D11" i="1"/>
  <c r="H11" i="1" s="1"/>
  <c r="E10" i="1"/>
  <c r="D10" i="1"/>
  <c r="E9" i="1"/>
  <c r="D9" i="1"/>
  <c r="E8" i="1"/>
  <c r="D8" i="1"/>
  <c r="K28" i="3"/>
  <c r="E8" i="2"/>
  <c r="H8" i="2" s="1"/>
  <c r="D8" i="2"/>
  <c r="E10" i="2"/>
  <c r="D10" i="2"/>
  <c r="E11" i="2"/>
  <c r="H11" i="2" s="1"/>
  <c r="D11" i="2"/>
  <c r="E9" i="2"/>
  <c r="D9" i="2"/>
  <c r="H9" i="2" s="1"/>
  <c r="E14" i="2"/>
  <c r="D14" i="2"/>
  <c r="E12" i="2"/>
  <c r="D12" i="2"/>
  <c r="H12" i="2" s="1"/>
  <c r="E13" i="2"/>
  <c r="D13" i="2"/>
  <c r="E15" i="2"/>
  <c r="D15" i="2"/>
  <c r="H15" i="2" s="1"/>
  <c r="E43" i="1"/>
  <c r="D43" i="1"/>
  <c r="E42" i="1"/>
  <c r="D42" i="1"/>
  <c r="E41" i="1"/>
  <c r="D41" i="1"/>
  <c r="H41" i="1" s="1"/>
  <c r="E40" i="1"/>
  <c r="D40" i="1"/>
  <c r="E19" i="1"/>
  <c r="D19" i="1"/>
  <c r="E18" i="1"/>
  <c r="H18" i="1" s="1"/>
  <c r="D18" i="1"/>
  <c r="E45" i="1"/>
  <c r="D45" i="1"/>
  <c r="E44" i="1"/>
  <c r="H44" i="1" s="1"/>
  <c r="D44" i="1"/>
  <c r="E15" i="1"/>
  <c r="D15" i="1"/>
  <c r="E14" i="1"/>
  <c r="D14" i="1"/>
  <c r="E13" i="1"/>
  <c r="D13" i="1"/>
  <c r="E12" i="1"/>
  <c r="H12" i="1" s="1"/>
  <c r="D12" i="1"/>
  <c r="E19" i="2"/>
  <c r="D19" i="2"/>
  <c r="H19" i="2" s="1"/>
  <c r="E18" i="2"/>
  <c r="D18" i="2"/>
  <c r="E17" i="2"/>
  <c r="D17" i="2"/>
  <c r="E16" i="2"/>
  <c r="H16" i="2" s="1"/>
  <c r="D16" i="2"/>
  <c r="E23" i="2"/>
  <c r="D23" i="2"/>
  <c r="H23" i="2" s="1"/>
  <c r="I22" i="2" s="1"/>
  <c r="E22" i="2"/>
  <c r="H22" i="2" s="1"/>
  <c r="D22" i="2"/>
  <c r="E21" i="2"/>
  <c r="D21" i="2"/>
  <c r="H21" i="2"/>
  <c r="E20" i="2"/>
  <c r="H20" i="2" s="1"/>
  <c r="I20" i="2" s="1"/>
  <c r="D20" i="2"/>
  <c r="E7" i="2"/>
  <c r="D7" i="2"/>
  <c r="H7" i="2" s="1"/>
  <c r="E6" i="2"/>
  <c r="H6" i="2" s="1"/>
  <c r="D6" i="2"/>
  <c r="E5" i="2"/>
  <c r="D5" i="2"/>
  <c r="H5" i="2"/>
  <c r="H10" i="2"/>
  <c r="H13" i="2"/>
  <c r="H14" i="2"/>
  <c r="H17" i="2"/>
  <c r="H18" i="2"/>
  <c r="E4" i="2"/>
  <c r="D4" i="2"/>
  <c r="H4" i="2" s="1"/>
  <c r="D23" i="4"/>
  <c r="E17" i="1"/>
  <c r="D17" i="1"/>
  <c r="H17" i="1" s="1"/>
  <c r="E16" i="1"/>
  <c r="D16" i="1"/>
  <c r="H16" i="1" s="1"/>
  <c r="E27" i="2"/>
  <c r="D27" i="2"/>
  <c r="H27" i="2" s="1"/>
  <c r="H26" i="2"/>
  <c r="E26" i="2"/>
  <c r="D26" i="2"/>
  <c r="E28" i="1"/>
  <c r="D28" i="1"/>
  <c r="H28" i="1" s="1"/>
  <c r="E29" i="1"/>
  <c r="D29" i="1"/>
  <c r="E30" i="1"/>
  <c r="D30" i="1"/>
  <c r="H30" i="1" s="1"/>
  <c r="E31" i="1"/>
  <c r="D31" i="1"/>
  <c r="E20" i="1"/>
  <c r="D20" i="1"/>
  <c r="E22" i="1"/>
  <c r="D22" i="1"/>
  <c r="H22" i="1" s="1"/>
  <c r="E23" i="1"/>
  <c r="D23" i="1"/>
  <c r="E21" i="1"/>
  <c r="D21" i="1"/>
  <c r="H21" i="1" s="1"/>
  <c r="E4" i="1"/>
  <c r="D4" i="1"/>
  <c r="H4" i="1" s="1"/>
  <c r="E7" i="1"/>
  <c r="D7" i="1"/>
  <c r="H7" i="1" s="1"/>
  <c r="D5" i="1"/>
  <c r="E5" i="1"/>
  <c r="H5" i="1" s="1"/>
  <c r="D6" i="1"/>
  <c r="E6" i="1"/>
  <c r="H6" i="1"/>
  <c r="H20" i="1"/>
  <c r="H29" i="1"/>
  <c r="H15" i="1"/>
  <c r="H10" i="1"/>
  <c r="H19" i="1"/>
  <c r="H25" i="1"/>
  <c r="E35" i="1"/>
  <c r="D35" i="1"/>
  <c r="H35" i="1" s="1"/>
  <c r="E34" i="1"/>
  <c r="D34" i="1"/>
  <c r="H34" i="1" s="1"/>
  <c r="E33" i="1"/>
  <c r="D33" i="1"/>
  <c r="H33" i="1" s="1"/>
  <c r="E32" i="1"/>
  <c r="D32" i="1"/>
  <c r="H32" i="1" s="1"/>
  <c r="J20" i="2" l="1"/>
  <c r="I4" i="2"/>
  <c r="I26" i="2"/>
  <c r="H40" i="1"/>
  <c r="H42" i="1"/>
  <c r="I32" i="1"/>
  <c r="H23" i="1"/>
  <c r="H13" i="1"/>
  <c r="I12" i="1" s="1"/>
  <c r="H14" i="1"/>
  <c r="I44" i="1"/>
  <c r="H43" i="1"/>
  <c r="H9" i="1"/>
  <c r="I38" i="1"/>
  <c r="H37" i="1"/>
  <c r="I36" i="1" s="1"/>
  <c r="H24" i="1"/>
  <c r="I24" i="1" s="1"/>
  <c r="H26" i="1"/>
  <c r="I26" i="1" s="1"/>
  <c r="H8" i="1"/>
  <c r="I8" i="2"/>
  <c r="I10" i="2"/>
  <c r="J8" i="2"/>
  <c r="I14" i="2"/>
  <c r="I12" i="2"/>
  <c r="I42" i="1"/>
  <c r="I40" i="1"/>
  <c r="I10" i="1"/>
  <c r="I18" i="1"/>
  <c r="I14" i="1"/>
  <c r="I18" i="2"/>
  <c r="I16" i="2"/>
  <c r="I6" i="2"/>
  <c r="J4" i="2" s="1"/>
  <c r="I16" i="1"/>
  <c r="I28" i="1"/>
  <c r="I30" i="1"/>
  <c r="I22" i="1"/>
  <c r="I20" i="1"/>
  <c r="I4" i="1"/>
  <c r="I6" i="1"/>
  <c r="I34" i="1"/>
  <c r="J32" i="1" s="1"/>
  <c r="I47" i="1" l="1"/>
  <c r="I8" i="1"/>
  <c r="J36" i="1"/>
  <c r="J12" i="2"/>
  <c r="J16" i="2"/>
  <c r="J40" i="1"/>
  <c r="J24" i="1"/>
  <c r="J8" i="1"/>
  <c r="J4" i="1"/>
  <c r="J20" i="1"/>
  <c r="J28" i="1"/>
  <c r="J47" i="1" s="1"/>
  <c r="J12" i="1"/>
  <c r="J16" i="1"/>
</calcChain>
</file>

<file path=xl/sharedStrings.xml><?xml version="1.0" encoding="utf-8"?>
<sst xmlns="http://schemas.openxmlformats.org/spreadsheetml/2006/main" count="542" uniqueCount="139">
  <si>
    <t>IGAZOLT</t>
  </si>
  <si>
    <t>FÉRFI</t>
  </si>
  <si>
    <t>név</t>
  </si>
  <si>
    <t>egyesület</t>
  </si>
  <si>
    <t>teli</t>
  </si>
  <si>
    <t>tarolás</t>
  </si>
  <si>
    <t>üres</t>
  </si>
  <si>
    <t>1.</t>
  </si>
  <si>
    <t>2.</t>
  </si>
  <si>
    <t>3.</t>
  </si>
  <si>
    <t>Csontos Ádám</t>
  </si>
  <si>
    <t>VILATI Eger SE I.</t>
  </si>
  <si>
    <t>Nagy Gábor</t>
  </si>
  <si>
    <t>4.</t>
  </si>
  <si>
    <t>5.</t>
  </si>
  <si>
    <t>Salgózd TK</t>
  </si>
  <si>
    <t>Stréer Tamás</t>
  </si>
  <si>
    <t>Frink Szabolcs</t>
  </si>
  <si>
    <t>Balázs Péter</t>
  </si>
  <si>
    <t>6.</t>
  </si>
  <si>
    <t>Ragályi Tamás</t>
  </si>
  <si>
    <t xml:space="preserve"> </t>
  </si>
  <si>
    <t>7.</t>
  </si>
  <si>
    <t>Tamasi Antal</t>
  </si>
  <si>
    <t>VILATI Eger SE II.</t>
  </si>
  <si>
    <t>Zsiros Péter</t>
  </si>
  <si>
    <t>8.</t>
  </si>
  <si>
    <t>9.</t>
  </si>
  <si>
    <t>Tóth Balázs</t>
  </si>
  <si>
    <t>10.</t>
  </si>
  <si>
    <t>Pál József</t>
  </si>
  <si>
    <t>Egri Széchenyi I.</t>
  </si>
  <si>
    <t>Nagy Tibor</t>
  </si>
  <si>
    <t>Lukács Zoltán</t>
  </si>
  <si>
    <t>Bajzát Rafael</t>
  </si>
  <si>
    <t>11.</t>
  </si>
  <si>
    <t>Egri Széchenyi II.</t>
  </si>
  <si>
    <t>Pálfi Tihamér</t>
  </si>
  <si>
    <t>Komáromi Roland</t>
  </si>
  <si>
    <t>AGRIA KUPA 2022</t>
  </si>
  <si>
    <t>AMATŐR</t>
  </si>
  <si>
    <t>Soós Béla</t>
  </si>
  <si>
    <t>Benke Zoltán</t>
  </si>
  <si>
    <t>Kántor János</t>
  </si>
  <si>
    <t>Scheibli Zoltán</t>
  </si>
  <si>
    <t>Szabó Géza</t>
  </si>
  <si>
    <t>VILATI Eger SE</t>
  </si>
  <si>
    <t>Tóth László</t>
  </si>
  <si>
    <t>Mester József</t>
  </si>
  <si>
    <t>Bárdos László</t>
  </si>
  <si>
    <t>Cseszlai Sándor</t>
  </si>
  <si>
    <t>Nagy Andrea</t>
  </si>
  <si>
    <t>Fábián Ferenc</t>
  </si>
  <si>
    <t>Berta Dániel</t>
  </si>
  <si>
    <t>Benedeczky Mónika</t>
  </si>
  <si>
    <t>Szabó István</t>
  </si>
  <si>
    <t>Busa Pál</t>
  </si>
  <si>
    <t>Kozsuch György</t>
  </si>
  <si>
    <t>Busa Endre</t>
  </si>
  <si>
    <t>Szabó Attila</t>
  </si>
  <si>
    <t>EGYÉNI</t>
  </si>
  <si>
    <t>IG.FFI</t>
  </si>
  <si>
    <t>AM. FFI</t>
  </si>
  <si>
    <t>AM. NŐI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</si>
  <si>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</si>
  <si>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</si>
  <si>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</si>
  <si>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</si>
  <si>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</si>
  <si>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</si>
  <si>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</si>
  <si>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</si>
  <si>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</si>
  <si>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</si>
  <si>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</si>
  <si>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</si>
  <si>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</si>
  <si>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</si>
  <si>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</si>
  <si>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</si>
  <si>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</si>
  <si>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</si>
  <si>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</si>
  <si>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</si>
  <si>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</si>
  <si>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</si>
  <si>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</si>
  <si>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</si>
  <si>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</si>
  <si>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</si>
  <si>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</si>
  <si>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</si>
  <si>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</si>
  <si>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</si>
  <si>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PÁROS</t>
  </si>
  <si>
    <t>Juhász Tibor</t>
  </si>
  <si>
    <t>Lakatos Gábor</t>
  </si>
  <si>
    <t>Szolnok I.</t>
  </si>
  <si>
    <t>Pintér Lajos</t>
  </si>
  <si>
    <t>Holp József</t>
  </si>
  <si>
    <t>Bíró József</t>
  </si>
  <si>
    <t>Schmidt László</t>
  </si>
  <si>
    <t>Szolnok II.</t>
  </si>
  <si>
    <t>Varga István</t>
  </si>
  <si>
    <t>Vígh Ferenc</t>
  </si>
  <si>
    <t>Varga Mátyás</t>
  </si>
  <si>
    <t>Futó Attila</t>
  </si>
  <si>
    <t>MVM El.SE I.</t>
  </si>
  <si>
    <t>Szeri Zsuzsa</t>
  </si>
  <si>
    <t>Horváth Gáborné</t>
  </si>
  <si>
    <t>NŐ</t>
  </si>
  <si>
    <t>Frink Norbert</t>
  </si>
  <si>
    <t>Jéger László</t>
  </si>
  <si>
    <t>MVM El.SE II.</t>
  </si>
  <si>
    <t>Ökrös Imre</t>
  </si>
  <si>
    <t>Mátra SE II.</t>
  </si>
  <si>
    <t>Tamás Elemér</t>
  </si>
  <si>
    <t>Csanádi Csaba</t>
  </si>
  <si>
    <t>Barátság 21</t>
  </si>
  <si>
    <t>Veze Gábor</t>
  </si>
  <si>
    <t>Havasi László</t>
  </si>
  <si>
    <t>Schwegler Mihály</t>
  </si>
  <si>
    <t>Liskány István</t>
  </si>
  <si>
    <t>Tóth Ferenc</t>
  </si>
  <si>
    <t>Habók István</t>
  </si>
  <si>
    <t>Mátra SE I.</t>
  </si>
  <si>
    <t>Kis Pál Jenő</t>
  </si>
  <si>
    <t>Dobrosi Attila</t>
  </si>
  <si>
    <t>Ander Tamás</t>
  </si>
  <si>
    <t>Csínyi Gábor</t>
  </si>
  <si>
    <t>Kazincbarcika I.</t>
  </si>
  <si>
    <t>Koós Milán</t>
  </si>
  <si>
    <t>Nyír TK</t>
  </si>
  <si>
    <t>Végvári Krisztián</t>
  </si>
  <si>
    <t>Ifj. Szojka Miklós</t>
  </si>
  <si>
    <t>Molnár Dávid</t>
  </si>
  <si>
    <t>átlag:</t>
  </si>
  <si>
    <t>251</t>
  </si>
  <si>
    <t>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</si>
</sst>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b/>
      <u/>
      <sz val="14"/>
      <color rgb="FF0070C0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u/>
      <sz val="12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u/>
      <sz val="12.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Fill="1" applyBorder="1"/>
    <xf numFmtId="0" fontId="13" fillId="0" borderId="0" xfId="0" applyFont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Border="1"/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2" fillId="0" borderId="0" xfId="0" applyFont="1"/>
    <xf numFmtId="0" fontId="13" fillId="0" borderId="0" xfId="0" applyFont="1"/>
    <xf numFmtId="0" fontId="18" fillId="0" borderId="0" xfId="1" applyAlignment="1" applyProtection="1"/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Fill="1" applyBorder="1"/>
    <xf numFmtId="0" fontId="0" fillId="0" borderId="0" xfId="0" applyFont="1" applyBorder="1"/>
    <xf numFmtId="0" fontId="21" fillId="0" borderId="0" xfId="0" applyFont="1"/>
    <xf numFmtId="0" fontId="2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1" fontId="14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6" fillId="0" borderId="0" xfId="0" quotePrefix="1" applyFont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1" fillId="0" borderId="0" xfId="0" applyFont="1"/>
    <xf numFmtId="0" fontId="6" fillId="0" borderId="0" xfId="0" quotePrefix="1" applyFont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A31" zoomScale="110" zoomScaleNormal="110" workbookViewId="0">
      <selection activeCell="M6" sqref="M6"/>
    </sheetView>
  </sheetViews>
  <sheetFormatPr defaultRowHeight="15" x14ac:dyDescent="0.25"/>
  <cols>
    <col min="1" max="1" width="3.85546875" customWidth="1"/>
    <col min="2" max="2" width="17.140625" customWidth="1"/>
    <col min="3" max="3" width="14.85546875" customWidth="1"/>
    <col min="4" max="4" width="5.42578125" customWidth="1"/>
    <col min="5" max="5" width="6.5703125" customWidth="1"/>
    <col min="6" max="6" width="5.7109375" customWidth="1"/>
    <col min="7" max="7" width="4.5703125" customWidth="1"/>
    <col min="8" max="8" width="6.42578125" customWidth="1"/>
    <col min="9" max="9" width="6.85546875" customWidth="1"/>
    <col min="10" max="10" width="8" customWidth="1"/>
  </cols>
  <sheetData>
    <row r="1" spans="1:10" ht="18.75" x14ac:dyDescent="0.3">
      <c r="A1" s="1"/>
      <c r="B1" s="4" t="s">
        <v>39</v>
      </c>
      <c r="C1" s="1"/>
      <c r="D1" s="1"/>
      <c r="E1" s="5" t="s">
        <v>0</v>
      </c>
      <c r="F1" s="2"/>
      <c r="G1" s="2"/>
      <c r="H1" s="16" t="s">
        <v>1</v>
      </c>
      <c r="I1" s="1"/>
      <c r="J1" s="1"/>
    </row>
    <row r="2" spans="1:10" ht="3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2" customHeight="1" x14ac:dyDescent="0.25">
      <c r="A3" s="23"/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>
        <v>9</v>
      </c>
      <c r="H3" s="19"/>
      <c r="I3" s="10"/>
      <c r="J3" s="10"/>
    </row>
    <row r="4" spans="1:10" ht="15.75" x14ac:dyDescent="0.25">
      <c r="A4" s="24" t="s">
        <v>7</v>
      </c>
      <c r="B4" s="8" t="s">
        <v>23</v>
      </c>
      <c r="C4" s="8" t="s">
        <v>11</v>
      </c>
      <c r="D4" s="9">
        <f>99+96+100+84</f>
        <v>379</v>
      </c>
      <c r="E4" s="9">
        <f>45+44+34+45</f>
        <v>168</v>
      </c>
      <c r="F4" s="9">
        <v>5</v>
      </c>
      <c r="G4" s="36">
        <v>6</v>
      </c>
      <c r="H4" s="18">
        <f>+D4+E4</f>
        <v>547</v>
      </c>
      <c r="I4" s="97">
        <f>+H4+H5</f>
        <v>1074</v>
      </c>
      <c r="J4" s="99">
        <f>+I4+I6</f>
        <v>2191</v>
      </c>
    </row>
    <row r="5" spans="1:10" ht="15.75" x14ac:dyDescent="0.25">
      <c r="A5" s="24"/>
      <c r="B5" s="71" t="s">
        <v>25</v>
      </c>
      <c r="C5" s="8" t="s">
        <v>11</v>
      </c>
      <c r="D5" s="9">
        <f>94+87+100+87</f>
        <v>368</v>
      </c>
      <c r="E5" s="9">
        <f>26+45+52+36</f>
        <v>159</v>
      </c>
      <c r="F5" s="36">
        <v>6</v>
      </c>
      <c r="G5" s="9">
        <v>6</v>
      </c>
      <c r="H5" s="74">
        <f t="shared" ref="H5:H7" si="0">+D5+E5</f>
        <v>527</v>
      </c>
      <c r="I5" s="97"/>
      <c r="J5" s="99"/>
    </row>
    <row r="6" spans="1:10" ht="15.75" x14ac:dyDescent="0.25">
      <c r="A6" s="24"/>
      <c r="B6" s="71" t="s">
        <v>10</v>
      </c>
      <c r="C6" s="8" t="s">
        <v>11</v>
      </c>
      <c r="D6" s="46">
        <f>105+91+95+93</f>
        <v>384</v>
      </c>
      <c r="E6" s="9">
        <f>42+40+50+45</f>
        <v>177</v>
      </c>
      <c r="F6" s="9">
        <v>5</v>
      </c>
      <c r="G6" s="9">
        <v>9</v>
      </c>
      <c r="H6" s="74">
        <f t="shared" si="0"/>
        <v>561</v>
      </c>
      <c r="I6" s="97">
        <f t="shared" ref="I6" si="1">+H6+H7</f>
        <v>1117</v>
      </c>
      <c r="J6" s="99"/>
    </row>
    <row r="7" spans="1:10" ht="15.75" x14ac:dyDescent="0.25">
      <c r="A7" s="23"/>
      <c r="B7" s="10" t="s">
        <v>12</v>
      </c>
      <c r="C7" s="10" t="s">
        <v>11</v>
      </c>
      <c r="D7" s="11">
        <f>87+95+90+87</f>
        <v>359</v>
      </c>
      <c r="E7" s="11">
        <f>50+60+53+34</f>
        <v>197</v>
      </c>
      <c r="F7" s="11">
        <v>0</v>
      </c>
      <c r="G7" s="45">
        <v>12</v>
      </c>
      <c r="H7" s="75">
        <f t="shared" si="0"/>
        <v>556</v>
      </c>
      <c r="I7" s="98"/>
      <c r="J7" s="100"/>
    </row>
    <row r="8" spans="1:10" ht="15.75" customHeight="1" x14ac:dyDescent="0.25">
      <c r="A8" s="25" t="s">
        <v>8</v>
      </c>
      <c r="B8" s="39" t="s">
        <v>128</v>
      </c>
      <c r="C8" s="76" t="s">
        <v>130</v>
      </c>
      <c r="D8" s="3">
        <f>81+85+90+94</f>
        <v>350</v>
      </c>
      <c r="E8" s="3">
        <f>51+35+35+44</f>
        <v>165</v>
      </c>
      <c r="F8" s="3">
        <v>10</v>
      </c>
      <c r="G8" s="3">
        <v>5</v>
      </c>
      <c r="H8" s="74">
        <f t="shared" ref="H8:H36" si="2">+D8+E8</f>
        <v>515</v>
      </c>
      <c r="I8" s="97">
        <f t="shared" ref="I8" si="3">+H8+H9</f>
        <v>1057</v>
      </c>
      <c r="J8" s="99">
        <f t="shared" ref="J8" si="4">+I8+I10</f>
        <v>2132</v>
      </c>
    </row>
    <row r="9" spans="1:10" ht="15.75" customHeight="1" x14ac:dyDescent="0.25">
      <c r="A9" s="24"/>
      <c r="B9" s="71" t="s">
        <v>129</v>
      </c>
      <c r="C9" s="76" t="s">
        <v>130</v>
      </c>
      <c r="D9" s="3">
        <f>88+93+92+84</f>
        <v>357</v>
      </c>
      <c r="E9" s="3">
        <f>45+44+42+54</f>
        <v>185</v>
      </c>
      <c r="F9" s="3">
        <v>4</v>
      </c>
      <c r="G9" s="3">
        <v>7</v>
      </c>
      <c r="H9" s="74">
        <f t="shared" si="2"/>
        <v>542</v>
      </c>
      <c r="I9" s="97"/>
      <c r="J9" s="99"/>
    </row>
    <row r="10" spans="1:10" ht="15.75" customHeight="1" x14ac:dyDescent="0.25">
      <c r="A10" s="24"/>
      <c r="B10" s="76" t="s">
        <v>127</v>
      </c>
      <c r="C10" s="76" t="s">
        <v>130</v>
      </c>
      <c r="D10" s="3">
        <f>84+78+82+104</f>
        <v>348</v>
      </c>
      <c r="E10" s="3">
        <f>43+43+32+35</f>
        <v>153</v>
      </c>
      <c r="F10" s="3">
        <v>5</v>
      </c>
      <c r="G10" s="3">
        <v>8</v>
      </c>
      <c r="H10" s="74">
        <f t="shared" si="2"/>
        <v>501</v>
      </c>
      <c r="I10" s="97">
        <f t="shared" ref="I10" si="5">+H10+H11</f>
        <v>1075</v>
      </c>
      <c r="J10" s="99"/>
    </row>
    <row r="11" spans="1:10" ht="15.75" customHeight="1" x14ac:dyDescent="0.25">
      <c r="A11" s="23"/>
      <c r="B11" s="21" t="s">
        <v>20</v>
      </c>
      <c r="C11" s="43" t="s">
        <v>130</v>
      </c>
      <c r="D11" s="11">
        <f>94+90+96+102</f>
        <v>382</v>
      </c>
      <c r="E11" s="11">
        <f>53+45+45+49</f>
        <v>192</v>
      </c>
      <c r="F11" s="11">
        <v>3</v>
      </c>
      <c r="G11" s="11">
        <v>7</v>
      </c>
      <c r="H11" s="75">
        <f t="shared" si="2"/>
        <v>574</v>
      </c>
      <c r="I11" s="98"/>
      <c r="J11" s="100"/>
    </row>
    <row r="12" spans="1:10" ht="15.75" customHeight="1" x14ac:dyDescent="0.25">
      <c r="A12" s="25" t="s">
        <v>9</v>
      </c>
      <c r="B12" s="76" t="s">
        <v>117</v>
      </c>
      <c r="C12" s="20" t="s">
        <v>15</v>
      </c>
      <c r="D12" s="9">
        <f>87+101+90+86</f>
        <v>364</v>
      </c>
      <c r="E12" s="9">
        <f>53+32+54+60</f>
        <v>199</v>
      </c>
      <c r="F12" s="9">
        <v>7</v>
      </c>
      <c r="G12" s="9">
        <v>9</v>
      </c>
      <c r="H12" s="74">
        <f t="shared" si="2"/>
        <v>563</v>
      </c>
      <c r="I12" s="97">
        <f t="shared" ref="I12" si="6">+H12+H13</f>
        <v>1108</v>
      </c>
      <c r="J12" s="99">
        <f t="shared" ref="J12" si="7">+I12+I14</f>
        <v>2124</v>
      </c>
    </row>
    <row r="13" spans="1:10" ht="15.75" customHeight="1" x14ac:dyDescent="0.25">
      <c r="A13" s="24"/>
      <c r="B13" s="20" t="s">
        <v>16</v>
      </c>
      <c r="C13" s="20" t="s">
        <v>15</v>
      </c>
      <c r="D13" s="9">
        <f>87+82+94+96</f>
        <v>359</v>
      </c>
      <c r="E13" s="36">
        <f>62+45+41+38</f>
        <v>186</v>
      </c>
      <c r="F13" s="36">
        <v>3</v>
      </c>
      <c r="G13" s="36">
        <v>6</v>
      </c>
      <c r="H13" s="74">
        <f t="shared" si="2"/>
        <v>545</v>
      </c>
      <c r="I13" s="97"/>
      <c r="J13" s="99"/>
    </row>
    <row r="14" spans="1:10" ht="15.75" customHeight="1" x14ac:dyDescent="0.25">
      <c r="A14" s="24"/>
      <c r="B14" s="76" t="s">
        <v>116</v>
      </c>
      <c r="C14" s="20" t="s">
        <v>15</v>
      </c>
      <c r="D14" s="9">
        <f>89+85+95+81</f>
        <v>350</v>
      </c>
      <c r="E14" s="9">
        <f>34+34+35+49</f>
        <v>152</v>
      </c>
      <c r="F14" s="9">
        <v>6</v>
      </c>
      <c r="G14" s="9">
        <v>6</v>
      </c>
      <c r="H14" s="74">
        <f t="shared" si="2"/>
        <v>502</v>
      </c>
      <c r="I14" s="97">
        <f t="shared" ref="I14" si="8">+H14+H15</f>
        <v>1016</v>
      </c>
      <c r="J14" s="99"/>
    </row>
    <row r="15" spans="1:10" ht="15.75" customHeight="1" x14ac:dyDescent="0.25">
      <c r="A15" s="23"/>
      <c r="B15" s="10" t="s">
        <v>18</v>
      </c>
      <c r="C15" s="21" t="s">
        <v>15</v>
      </c>
      <c r="D15" s="11">
        <f>99+85+80+85</f>
        <v>349</v>
      </c>
      <c r="E15" s="11">
        <f>41+54+45+25</f>
        <v>165</v>
      </c>
      <c r="F15" s="11">
        <v>4</v>
      </c>
      <c r="G15" s="11">
        <v>6</v>
      </c>
      <c r="H15" s="75">
        <f t="shared" si="2"/>
        <v>514</v>
      </c>
      <c r="I15" s="98"/>
      <c r="J15" s="100"/>
    </row>
    <row r="16" spans="1:10" ht="15.75" customHeight="1" x14ac:dyDescent="0.25">
      <c r="A16" s="25" t="s">
        <v>13</v>
      </c>
      <c r="B16" s="76" t="s">
        <v>28</v>
      </c>
      <c r="C16" s="8" t="s">
        <v>24</v>
      </c>
      <c r="D16" s="85">
        <f>94+100+82+74</f>
        <v>350</v>
      </c>
      <c r="E16" s="13">
        <f>36+41+32+35</f>
        <v>144</v>
      </c>
      <c r="F16" s="85">
        <v>9</v>
      </c>
      <c r="G16" s="13">
        <v>9</v>
      </c>
      <c r="H16" s="74">
        <f t="shared" si="2"/>
        <v>494</v>
      </c>
      <c r="I16" s="97">
        <f t="shared" ref="I16" si="9">+H16+H17</f>
        <v>1037</v>
      </c>
      <c r="J16" s="99">
        <f t="shared" ref="J16" si="10">+I16+I18</f>
        <v>2074</v>
      </c>
    </row>
    <row r="17" spans="1:14" ht="15.75" customHeight="1" x14ac:dyDescent="0.25">
      <c r="A17" s="24"/>
      <c r="B17" s="71" t="s">
        <v>48</v>
      </c>
      <c r="C17" s="8" t="s">
        <v>24</v>
      </c>
      <c r="D17" s="9">
        <f>96+82+89+96</f>
        <v>363</v>
      </c>
      <c r="E17" s="9">
        <f>51+50+34+45</f>
        <v>180</v>
      </c>
      <c r="F17" s="9">
        <v>7</v>
      </c>
      <c r="G17" s="9">
        <v>5</v>
      </c>
      <c r="H17" s="74">
        <f t="shared" si="2"/>
        <v>543</v>
      </c>
      <c r="I17" s="97"/>
      <c r="J17" s="99"/>
      <c r="K17" s="1"/>
      <c r="L17" s="1"/>
      <c r="M17" s="1"/>
      <c r="N17" s="1"/>
    </row>
    <row r="18" spans="1:14" ht="15.75" customHeight="1" x14ac:dyDescent="0.25">
      <c r="A18" s="24"/>
      <c r="B18" s="76" t="s">
        <v>33</v>
      </c>
      <c r="C18" s="8" t="s">
        <v>24</v>
      </c>
      <c r="D18" s="9">
        <f>94+99+96+80</f>
        <v>369</v>
      </c>
      <c r="E18" s="9">
        <f>35+52+33+36</f>
        <v>156</v>
      </c>
      <c r="F18" s="9">
        <v>4</v>
      </c>
      <c r="G18" s="9">
        <v>7</v>
      </c>
      <c r="H18" s="74">
        <f t="shared" si="2"/>
        <v>525</v>
      </c>
      <c r="I18" s="97">
        <f t="shared" ref="I18" si="11">+H18+H19</f>
        <v>1037</v>
      </c>
      <c r="J18" s="99"/>
      <c r="K18" s="1"/>
      <c r="L18" s="1"/>
      <c r="M18" s="1"/>
      <c r="N18" s="1"/>
    </row>
    <row r="19" spans="1:14" ht="15.75" customHeight="1" x14ac:dyDescent="0.25">
      <c r="A19" s="23"/>
      <c r="B19" s="72" t="s">
        <v>112</v>
      </c>
      <c r="C19" s="10" t="s">
        <v>24</v>
      </c>
      <c r="D19" s="11">
        <f>93+76+97+89</f>
        <v>355</v>
      </c>
      <c r="E19" s="11">
        <f>32+43+40+42</f>
        <v>157</v>
      </c>
      <c r="F19" s="11">
        <v>8</v>
      </c>
      <c r="G19" s="11">
        <v>1</v>
      </c>
      <c r="H19" s="75">
        <f t="shared" si="2"/>
        <v>512</v>
      </c>
      <c r="I19" s="98"/>
      <c r="J19" s="100"/>
      <c r="K19" s="1"/>
      <c r="L19" s="1"/>
      <c r="M19" s="1"/>
      <c r="N19" s="1"/>
    </row>
    <row r="20" spans="1:14" ht="15.75" customHeight="1" x14ac:dyDescent="0.25">
      <c r="A20" s="25" t="s">
        <v>14</v>
      </c>
      <c r="B20" s="76" t="s">
        <v>98</v>
      </c>
      <c r="C20" s="76" t="s">
        <v>97</v>
      </c>
      <c r="D20" s="35">
        <f>89+86+89+74</f>
        <v>338</v>
      </c>
      <c r="E20" s="9">
        <f>52+43+27+34</f>
        <v>156</v>
      </c>
      <c r="F20" s="36">
        <v>8</v>
      </c>
      <c r="G20" s="9">
        <v>4</v>
      </c>
      <c r="H20" s="74">
        <f t="shared" si="2"/>
        <v>494</v>
      </c>
      <c r="I20" s="97">
        <f t="shared" ref="I20" si="12">+H20+H21</f>
        <v>1019</v>
      </c>
      <c r="J20" s="99">
        <f t="shared" ref="J20" si="13">+I20+I22</f>
        <v>2067</v>
      </c>
      <c r="K20" s="1"/>
      <c r="L20" s="1"/>
      <c r="M20" s="1"/>
      <c r="N20" s="1"/>
    </row>
    <row r="21" spans="1:14" ht="15.75" customHeight="1" x14ac:dyDescent="0.25">
      <c r="A21" s="24"/>
      <c r="B21" s="76" t="s">
        <v>99</v>
      </c>
      <c r="C21" s="76" t="s">
        <v>97</v>
      </c>
      <c r="D21" s="9">
        <f>88+83+87+99</f>
        <v>357</v>
      </c>
      <c r="E21" s="9">
        <f>34+44+45+45</f>
        <v>168</v>
      </c>
      <c r="F21" s="9">
        <v>8</v>
      </c>
      <c r="G21" s="9">
        <v>6</v>
      </c>
      <c r="H21" s="74">
        <f t="shared" si="2"/>
        <v>525</v>
      </c>
      <c r="I21" s="97"/>
      <c r="J21" s="99"/>
      <c r="K21" s="1"/>
      <c r="L21" s="1"/>
      <c r="M21" s="1"/>
      <c r="N21" s="1"/>
    </row>
    <row r="22" spans="1:14" ht="15.75" customHeight="1" x14ac:dyDescent="0.25">
      <c r="A22" s="24"/>
      <c r="B22" s="76" t="s">
        <v>100</v>
      </c>
      <c r="C22" s="76" t="s">
        <v>97</v>
      </c>
      <c r="D22" s="9">
        <f>100+92+86+86</f>
        <v>364</v>
      </c>
      <c r="E22" s="9">
        <f>36+45+45+35</f>
        <v>161</v>
      </c>
      <c r="F22" s="9">
        <v>7</v>
      </c>
      <c r="G22" s="9">
        <v>7</v>
      </c>
      <c r="H22" s="74">
        <f t="shared" si="2"/>
        <v>525</v>
      </c>
      <c r="I22" s="97">
        <f t="shared" ref="I22" si="14">+H22+H23</f>
        <v>1048</v>
      </c>
      <c r="J22" s="99"/>
      <c r="K22" s="1"/>
      <c r="L22" s="1"/>
      <c r="M22" s="1"/>
      <c r="N22" s="1"/>
    </row>
    <row r="23" spans="1:14" ht="15.75" customHeight="1" x14ac:dyDescent="0.25">
      <c r="A23" s="23"/>
      <c r="B23" s="43" t="s">
        <v>101</v>
      </c>
      <c r="C23" s="43" t="s">
        <v>97</v>
      </c>
      <c r="D23" s="11">
        <f>86+83+98+99</f>
        <v>366</v>
      </c>
      <c r="E23" s="11">
        <f>50+36+36+35</f>
        <v>157</v>
      </c>
      <c r="F23" s="11">
        <v>3</v>
      </c>
      <c r="G23" s="11">
        <v>5</v>
      </c>
      <c r="H23" s="75">
        <f t="shared" si="2"/>
        <v>523</v>
      </c>
      <c r="I23" s="98"/>
      <c r="J23" s="100"/>
      <c r="K23" s="1"/>
      <c r="L23" s="1"/>
      <c r="M23" s="1"/>
      <c r="N23" s="1"/>
    </row>
    <row r="24" spans="1:14" ht="15.75" customHeight="1" x14ac:dyDescent="0.25">
      <c r="A24" s="25" t="s">
        <v>19</v>
      </c>
      <c r="B24" s="12" t="s">
        <v>30</v>
      </c>
      <c r="C24" s="12" t="s">
        <v>31</v>
      </c>
      <c r="D24" s="3">
        <f>105+83+82+88</f>
        <v>358</v>
      </c>
      <c r="E24" s="3">
        <f>42+45+18+45</f>
        <v>150</v>
      </c>
      <c r="F24" s="3">
        <v>12</v>
      </c>
      <c r="G24" s="3">
        <v>3</v>
      </c>
      <c r="H24" s="74">
        <f t="shared" si="2"/>
        <v>508</v>
      </c>
      <c r="I24" s="97">
        <f t="shared" ref="I24" si="15">+H24+H25</f>
        <v>1035</v>
      </c>
      <c r="J24" s="99">
        <f t="shared" ref="J24" si="16">+I24+I26</f>
        <v>2057</v>
      </c>
      <c r="K24" s="1"/>
      <c r="L24" s="1"/>
      <c r="M24" s="1"/>
      <c r="N24" s="1"/>
    </row>
    <row r="25" spans="1:14" ht="15.75" customHeight="1" x14ac:dyDescent="0.25">
      <c r="A25" s="24"/>
      <c r="B25" s="1" t="s">
        <v>32</v>
      </c>
      <c r="C25" s="8" t="s">
        <v>31</v>
      </c>
      <c r="D25" s="3">
        <f>79+85+84+98</f>
        <v>346</v>
      </c>
      <c r="E25" s="3">
        <f>43+45+49+44</f>
        <v>181</v>
      </c>
      <c r="F25" s="3">
        <v>5</v>
      </c>
      <c r="G25" s="3">
        <v>5</v>
      </c>
      <c r="H25" s="74">
        <f t="shared" si="2"/>
        <v>527</v>
      </c>
      <c r="I25" s="97"/>
      <c r="J25" s="99"/>
      <c r="K25" s="1"/>
      <c r="L25" s="1"/>
      <c r="M25" s="1"/>
      <c r="N25" s="1"/>
    </row>
    <row r="26" spans="1:14" ht="15.75" customHeight="1" x14ac:dyDescent="0.25">
      <c r="A26" s="24"/>
      <c r="B26" s="71" t="s">
        <v>131</v>
      </c>
      <c r="C26" s="8" t="s">
        <v>31</v>
      </c>
      <c r="D26" s="3">
        <f>101+90+87+81</f>
        <v>359</v>
      </c>
      <c r="E26" s="3">
        <f>35+33+44+44</f>
        <v>156</v>
      </c>
      <c r="F26" s="3">
        <v>6</v>
      </c>
      <c r="G26" s="3">
        <v>8</v>
      </c>
      <c r="H26" s="74">
        <f t="shared" si="2"/>
        <v>515</v>
      </c>
      <c r="I26" s="97">
        <f t="shared" ref="I26" si="17">+H26+H27</f>
        <v>1022</v>
      </c>
      <c r="J26" s="99"/>
      <c r="K26" s="1"/>
      <c r="L26" s="1"/>
      <c r="M26" s="1"/>
      <c r="N26" s="1"/>
    </row>
    <row r="27" spans="1:14" ht="15.75" customHeight="1" x14ac:dyDescent="0.25">
      <c r="A27" s="23"/>
      <c r="B27" s="10" t="s">
        <v>34</v>
      </c>
      <c r="C27" s="10" t="s">
        <v>31</v>
      </c>
      <c r="D27" s="11">
        <f>94+83+81+89</f>
        <v>347</v>
      </c>
      <c r="E27" s="11">
        <f>44+33+40+43</f>
        <v>160</v>
      </c>
      <c r="F27" s="11">
        <v>5</v>
      </c>
      <c r="G27" s="11">
        <v>3</v>
      </c>
      <c r="H27" s="75">
        <f t="shared" si="2"/>
        <v>507</v>
      </c>
      <c r="I27" s="98"/>
      <c r="J27" s="100"/>
      <c r="K27" s="1"/>
      <c r="L27" s="1"/>
      <c r="M27" s="1"/>
      <c r="N27" s="1" t="s">
        <v>21</v>
      </c>
    </row>
    <row r="28" spans="1:14" ht="15.75" customHeight="1" x14ac:dyDescent="0.25">
      <c r="A28" s="25" t="s">
        <v>22</v>
      </c>
      <c r="B28" s="76" t="s">
        <v>103</v>
      </c>
      <c r="C28" s="76" t="s">
        <v>102</v>
      </c>
      <c r="D28" s="3">
        <f>96+88+95+81</f>
        <v>360</v>
      </c>
      <c r="E28" s="3">
        <f>53+36+36+40</f>
        <v>165</v>
      </c>
      <c r="F28" s="3">
        <v>5</v>
      </c>
      <c r="G28" s="3">
        <v>4</v>
      </c>
      <c r="H28" s="74">
        <f t="shared" si="2"/>
        <v>525</v>
      </c>
      <c r="I28" s="97">
        <f t="shared" ref="I28" si="18">+H28+H29</f>
        <v>1092</v>
      </c>
      <c r="J28" s="99">
        <f t="shared" ref="J28" si="19">+I28+I30</f>
        <v>2002</v>
      </c>
      <c r="K28" s="1"/>
      <c r="L28" s="1"/>
      <c r="M28" s="1"/>
      <c r="N28" s="1"/>
    </row>
    <row r="29" spans="1:14" ht="15.75" customHeight="1" x14ac:dyDescent="0.25">
      <c r="A29" s="24"/>
      <c r="B29" s="76" t="s">
        <v>104</v>
      </c>
      <c r="C29" s="76" t="s">
        <v>102</v>
      </c>
      <c r="D29" s="3">
        <f>84+88+90+99</f>
        <v>361</v>
      </c>
      <c r="E29" s="3">
        <f>45+49+71+41</f>
        <v>206</v>
      </c>
      <c r="F29" s="3">
        <v>4</v>
      </c>
      <c r="G29" s="3">
        <v>7</v>
      </c>
      <c r="H29" s="74">
        <f t="shared" si="2"/>
        <v>567</v>
      </c>
      <c r="I29" s="97"/>
      <c r="J29" s="99"/>
      <c r="K29" s="1"/>
      <c r="L29" s="1"/>
      <c r="M29" s="1"/>
      <c r="N29" s="1"/>
    </row>
    <row r="30" spans="1:14" ht="15.75" customHeight="1" x14ac:dyDescent="0.25">
      <c r="A30" s="24"/>
      <c r="B30" s="76" t="s">
        <v>105</v>
      </c>
      <c r="C30" s="76" t="s">
        <v>102</v>
      </c>
      <c r="D30" s="3">
        <f>95+85+86+100</f>
        <v>366</v>
      </c>
      <c r="E30" s="70">
        <f>53+53+50+53</f>
        <v>209</v>
      </c>
      <c r="F30" s="3">
        <v>4</v>
      </c>
      <c r="G30" s="3">
        <v>10</v>
      </c>
      <c r="H30" s="74">
        <f t="shared" si="2"/>
        <v>575</v>
      </c>
      <c r="I30" s="97">
        <f t="shared" ref="I30" si="20">+H30+H31</f>
        <v>910</v>
      </c>
      <c r="J30" s="99"/>
      <c r="K30" s="1"/>
      <c r="L30" s="1"/>
      <c r="M30" s="1"/>
      <c r="N30" s="1"/>
    </row>
    <row r="31" spans="1:14" ht="15.75" customHeight="1" x14ac:dyDescent="0.25">
      <c r="A31" s="23"/>
      <c r="B31" s="43" t="s">
        <v>106</v>
      </c>
      <c r="C31" s="43" t="s">
        <v>102</v>
      </c>
      <c r="D31" s="11">
        <f>83+98+95</f>
        <v>276</v>
      </c>
      <c r="E31" s="11">
        <f>36+23</f>
        <v>59</v>
      </c>
      <c r="F31" s="11">
        <v>6</v>
      </c>
      <c r="G31" s="11">
        <v>6</v>
      </c>
      <c r="H31" s="114" t="s">
        <v>138</v>
      </c>
      <c r="I31" s="98"/>
      <c r="J31" s="100"/>
      <c r="K31" s="1"/>
      <c r="L31" s="1"/>
      <c r="M31" s="1"/>
      <c r="N31" s="1"/>
    </row>
    <row r="32" spans="1:14" ht="15.75" customHeight="1" x14ac:dyDescent="0.25">
      <c r="A32" s="25" t="s">
        <v>26</v>
      </c>
      <c r="B32" s="1" t="s">
        <v>38</v>
      </c>
      <c r="C32" s="1" t="s">
        <v>36</v>
      </c>
      <c r="D32" s="3">
        <f>75+88+89+92</f>
        <v>344</v>
      </c>
      <c r="E32" s="3">
        <f>44+43+52+26</f>
        <v>165</v>
      </c>
      <c r="F32" s="3">
        <v>8</v>
      </c>
      <c r="G32" s="3">
        <v>7</v>
      </c>
      <c r="H32" s="17">
        <f t="shared" si="2"/>
        <v>509</v>
      </c>
      <c r="I32" s="102">
        <f>+H32+H33</f>
        <v>1016</v>
      </c>
      <c r="J32" s="101">
        <f>+I32+I34</f>
        <v>1987</v>
      </c>
      <c r="K32" s="1"/>
      <c r="L32" s="1"/>
      <c r="M32" s="1"/>
      <c r="N32" s="1"/>
    </row>
    <row r="33" spans="1:10" ht="15.75" customHeight="1" x14ac:dyDescent="0.25">
      <c r="A33" s="24"/>
      <c r="B33" s="8" t="s">
        <v>37</v>
      </c>
      <c r="C33" s="1" t="s">
        <v>36</v>
      </c>
      <c r="D33" s="3">
        <f>75+85+80+83</f>
        <v>323</v>
      </c>
      <c r="E33" s="3">
        <f>45+45+52+42</f>
        <v>184</v>
      </c>
      <c r="F33" s="3">
        <v>7</v>
      </c>
      <c r="G33" s="3">
        <v>3</v>
      </c>
      <c r="H33" s="73">
        <f t="shared" si="2"/>
        <v>507</v>
      </c>
      <c r="I33" s="102"/>
      <c r="J33" s="99"/>
    </row>
    <row r="34" spans="1:10" ht="15.75" customHeight="1" x14ac:dyDescent="0.25">
      <c r="A34" s="24"/>
      <c r="B34" s="76" t="s">
        <v>95</v>
      </c>
      <c r="C34" s="1" t="s">
        <v>36</v>
      </c>
      <c r="D34" s="3">
        <f>98+89+88+90</f>
        <v>365</v>
      </c>
      <c r="E34" s="3">
        <f>44+35+43+36</f>
        <v>158</v>
      </c>
      <c r="F34" s="3">
        <v>7</v>
      </c>
      <c r="G34" s="7">
        <v>2</v>
      </c>
      <c r="H34" s="74">
        <f t="shared" si="2"/>
        <v>523</v>
      </c>
      <c r="I34" s="102">
        <f>+H34+H35</f>
        <v>971</v>
      </c>
      <c r="J34" s="99"/>
    </row>
    <row r="35" spans="1:10" ht="15.75" customHeight="1" x14ac:dyDescent="0.25">
      <c r="A35" s="23"/>
      <c r="B35" s="72" t="s">
        <v>96</v>
      </c>
      <c r="C35" s="10" t="s">
        <v>36</v>
      </c>
      <c r="D35" s="11">
        <f>85+93+77+85</f>
        <v>340</v>
      </c>
      <c r="E35" s="11">
        <f>16+32+26+34</f>
        <v>108</v>
      </c>
      <c r="F35" s="11">
        <v>18</v>
      </c>
      <c r="G35" s="11">
        <v>5</v>
      </c>
      <c r="H35" s="75">
        <f t="shared" si="2"/>
        <v>448</v>
      </c>
      <c r="I35" s="104"/>
      <c r="J35" s="100"/>
    </row>
    <row r="36" spans="1:10" ht="15.75" customHeight="1" x14ac:dyDescent="0.25">
      <c r="A36" s="25" t="s">
        <v>27</v>
      </c>
      <c r="B36" s="76" t="s">
        <v>133</v>
      </c>
      <c r="C36" s="76" t="s">
        <v>132</v>
      </c>
      <c r="D36" s="31">
        <f>73+84+96+91</f>
        <v>344</v>
      </c>
      <c r="E36" s="31">
        <f>45+36+26+26</f>
        <v>133</v>
      </c>
      <c r="F36" s="31">
        <v>13</v>
      </c>
      <c r="G36" s="31">
        <v>4</v>
      </c>
      <c r="H36" s="95">
        <f t="shared" si="2"/>
        <v>477</v>
      </c>
      <c r="I36" s="105">
        <f>+H36+H37</f>
        <v>923</v>
      </c>
      <c r="J36" s="101">
        <f>+I36+I38</f>
        <v>1961</v>
      </c>
    </row>
    <row r="37" spans="1:10" ht="15.75" customHeight="1" x14ac:dyDescent="0.25">
      <c r="A37" s="24"/>
      <c r="B37" s="76" t="s">
        <v>50</v>
      </c>
      <c r="C37" s="76" t="s">
        <v>132</v>
      </c>
      <c r="D37" s="31">
        <f>86+82+69+79</f>
        <v>316</v>
      </c>
      <c r="E37" s="31">
        <f>35+26+43+26</f>
        <v>130</v>
      </c>
      <c r="F37" s="31">
        <v>15</v>
      </c>
      <c r="G37" s="31">
        <v>3</v>
      </c>
      <c r="H37" s="95">
        <f t="shared" ref="H37:H39" si="21">+D37+E37</f>
        <v>446</v>
      </c>
      <c r="I37" s="106"/>
      <c r="J37" s="107"/>
    </row>
    <row r="38" spans="1:10" ht="15.75" customHeight="1" x14ac:dyDescent="0.25">
      <c r="A38" s="24"/>
      <c r="B38" s="76" t="s">
        <v>134</v>
      </c>
      <c r="C38" s="76" t="s">
        <v>132</v>
      </c>
      <c r="D38" s="35">
        <f>87+80+90+112</f>
        <v>369</v>
      </c>
      <c r="E38" s="35">
        <f>36+52+27+26</f>
        <v>141</v>
      </c>
      <c r="F38" s="35">
        <v>8</v>
      </c>
      <c r="G38" s="35">
        <v>8</v>
      </c>
      <c r="H38" s="95">
        <f t="shared" si="21"/>
        <v>510</v>
      </c>
      <c r="I38" s="102">
        <f>+H38+H39</f>
        <v>1038</v>
      </c>
      <c r="J38" s="107"/>
    </row>
    <row r="39" spans="1:10" ht="15.75" customHeight="1" x14ac:dyDescent="0.25">
      <c r="A39" s="23"/>
      <c r="B39" s="43" t="s">
        <v>135</v>
      </c>
      <c r="C39" s="43" t="s">
        <v>132</v>
      </c>
      <c r="D39" s="38">
        <f>94+95+97+82</f>
        <v>368</v>
      </c>
      <c r="E39" s="38">
        <f>41+26+44+49</f>
        <v>160</v>
      </c>
      <c r="F39" s="38">
        <v>11</v>
      </c>
      <c r="G39" s="38">
        <v>4</v>
      </c>
      <c r="H39" s="96">
        <f t="shared" si="21"/>
        <v>528</v>
      </c>
      <c r="I39" s="104"/>
      <c r="J39" s="107"/>
    </row>
    <row r="40" spans="1:10" ht="15.75" customHeight="1" x14ac:dyDescent="0.25">
      <c r="A40" s="6" t="s">
        <v>29</v>
      </c>
      <c r="B40" s="76" t="s">
        <v>119</v>
      </c>
      <c r="C40" s="76" t="s">
        <v>118</v>
      </c>
      <c r="D40" s="31">
        <f>82+68+67+77</f>
        <v>294</v>
      </c>
      <c r="E40" s="31">
        <f>32+53+38+42</f>
        <v>165</v>
      </c>
      <c r="F40" s="84">
        <v>9</v>
      </c>
      <c r="G40" s="84">
        <v>3</v>
      </c>
      <c r="H40" s="74">
        <f t="shared" ref="H40:H45" si="22">+D40+E40</f>
        <v>459</v>
      </c>
      <c r="I40" s="102">
        <f t="shared" ref="I40" si="23">+H40+H41</f>
        <v>849</v>
      </c>
      <c r="J40" s="101">
        <f>+I40+I42</f>
        <v>1817</v>
      </c>
    </row>
    <row r="41" spans="1:10" ht="15.75" customHeight="1" x14ac:dyDescent="0.25">
      <c r="A41" s="1"/>
      <c r="B41" s="76" t="s">
        <v>120</v>
      </c>
      <c r="C41" s="76" t="s">
        <v>118</v>
      </c>
      <c r="D41" s="31">
        <f>73+79+62+77</f>
        <v>291</v>
      </c>
      <c r="E41" s="31">
        <f>30+26+26+17</f>
        <v>99</v>
      </c>
      <c r="F41" s="84">
        <v>21</v>
      </c>
      <c r="G41" s="84">
        <v>1</v>
      </c>
      <c r="H41" s="74">
        <f t="shared" si="22"/>
        <v>390</v>
      </c>
      <c r="I41" s="102"/>
      <c r="J41" s="99"/>
    </row>
    <row r="42" spans="1:10" ht="15.75" customHeight="1" x14ac:dyDescent="0.25">
      <c r="A42" s="1"/>
      <c r="B42" s="76" t="s">
        <v>121</v>
      </c>
      <c r="C42" s="76" t="s">
        <v>118</v>
      </c>
      <c r="D42" s="31">
        <f>81+70+93+87</f>
        <v>331</v>
      </c>
      <c r="E42" s="31">
        <f>34+42+29+34</f>
        <v>139</v>
      </c>
      <c r="F42" s="84">
        <v>17</v>
      </c>
      <c r="G42" s="84">
        <v>4</v>
      </c>
      <c r="H42" s="74">
        <f t="shared" si="22"/>
        <v>470</v>
      </c>
      <c r="I42" s="102">
        <f t="shared" ref="I42" si="24">+H42+H43</f>
        <v>968</v>
      </c>
      <c r="J42" s="99"/>
    </row>
    <row r="43" spans="1:10" ht="15.75" customHeight="1" x14ac:dyDescent="0.25">
      <c r="A43" s="23"/>
      <c r="B43" s="43" t="s">
        <v>122</v>
      </c>
      <c r="C43" s="43" t="s">
        <v>118</v>
      </c>
      <c r="D43" s="38">
        <f>91+83+80+88</f>
        <v>342</v>
      </c>
      <c r="E43" s="38">
        <f>35+35+44+42</f>
        <v>156</v>
      </c>
      <c r="F43" s="90">
        <v>6</v>
      </c>
      <c r="G43" s="90">
        <v>5</v>
      </c>
      <c r="H43" s="75">
        <f t="shared" si="22"/>
        <v>498</v>
      </c>
      <c r="I43" s="104"/>
      <c r="J43" s="100"/>
    </row>
    <row r="44" spans="1:10" ht="15.75" x14ac:dyDescent="0.25">
      <c r="A44" s="6"/>
      <c r="B44" s="39" t="s">
        <v>111</v>
      </c>
      <c r="C44" s="39" t="s">
        <v>15</v>
      </c>
      <c r="D44" s="13">
        <f>86+81+91+93</f>
        <v>351</v>
      </c>
      <c r="E44" s="13">
        <f>31+36+44+44</f>
        <v>155</v>
      </c>
      <c r="F44" s="13">
        <v>8</v>
      </c>
      <c r="G44" s="13">
        <v>8</v>
      </c>
      <c r="H44" s="74">
        <f t="shared" si="22"/>
        <v>506</v>
      </c>
      <c r="I44" s="97">
        <f t="shared" ref="I44" si="25">+H44+H45</f>
        <v>757</v>
      </c>
    </row>
    <row r="45" spans="1:10" ht="15.75" x14ac:dyDescent="0.25">
      <c r="A45" s="1"/>
      <c r="B45" s="76" t="s">
        <v>17</v>
      </c>
      <c r="C45" s="76" t="s">
        <v>15</v>
      </c>
      <c r="D45" s="9">
        <f>78+84</f>
        <v>162</v>
      </c>
      <c r="E45" s="9">
        <f>53+36</f>
        <v>89</v>
      </c>
      <c r="F45" s="9">
        <v>1</v>
      </c>
      <c r="G45" s="9">
        <v>3</v>
      </c>
      <c r="H45" s="113" t="s">
        <v>137</v>
      </c>
      <c r="I45" s="97"/>
    </row>
    <row r="46" spans="1:10" x14ac:dyDescent="0.25">
      <c r="A46" s="24"/>
    </row>
    <row r="47" spans="1:10" x14ac:dyDescent="0.25">
      <c r="A47" s="46"/>
      <c r="C47" s="110" t="s">
        <v>136</v>
      </c>
      <c r="D47" s="70">
        <f>AVERAGE(D4:D46)</f>
        <v>345.8095238095238</v>
      </c>
      <c r="E47" s="112">
        <f t="shared" ref="E47:J47" si="26">AVERAGE(E4:E46)</f>
        <v>158.21428571428572</v>
      </c>
      <c r="F47" s="111">
        <f t="shared" si="26"/>
        <v>7.333333333333333</v>
      </c>
      <c r="G47" s="111">
        <f t="shared" si="26"/>
        <v>5.6428571428571432</v>
      </c>
      <c r="H47" s="112">
        <f t="shared" si="26"/>
        <v>514.57500000000005</v>
      </c>
      <c r="I47" s="70">
        <f t="shared" si="26"/>
        <v>1008.047619047619</v>
      </c>
      <c r="J47" s="112">
        <f t="shared" si="26"/>
        <v>2041.2</v>
      </c>
    </row>
    <row r="48" spans="1:10" x14ac:dyDescent="0.25">
      <c r="A48" s="1"/>
    </row>
    <row r="49" spans="1:10" x14ac:dyDescent="0.25">
      <c r="A49" s="1"/>
      <c r="B49" s="71"/>
      <c r="C49" s="71"/>
      <c r="D49" s="71"/>
      <c r="E49" s="71"/>
      <c r="F49" s="71"/>
      <c r="G49" s="71"/>
      <c r="H49" s="71"/>
      <c r="I49" s="71"/>
      <c r="J49" s="99"/>
    </row>
    <row r="50" spans="1:10" x14ac:dyDescent="0.25">
      <c r="A50" s="1"/>
      <c r="B50" s="71"/>
      <c r="C50" s="71"/>
      <c r="D50" s="71"/>
      <c r="E50" s="71"/>
      <c r="F50" s="71"/>
      <c r="G50" s="71"/>
      <c r="H50" s="71"/>
      <c r="I50" s="71"/>
      <c r="J50" s="99"/>
    </row>
    <row r="51" spans="1:10" ht="15.75" x14ac:dyDescent="0.25">
      <c r="A51" s="24"/>
      <c r="B51" s="71"/>
      <c r="C51" s="77"/>
      <c r="D51" s="36"/>
      <c r="E51" s="35"/>
      <c r="F51" s="35"/>
      <c r="G51" s="35"/>
      <c r="H51" s="88"/>
      <c r="I51" s="103"/>
      <c r="J51" s="99"/>
    </row>
    <row r="52" spans="1:10" ht="15.75" x14ac:dyDescent="0.25">
      <c r="A52" s="24"/>
      <c r="B52" s="71"/>
      <c r="C52" s="77"/>
      <c r="D52" s="35"/>
      <c r="E52" s="35"/>
      <c r="F52" s="35"/>
      <c r="G52" s="35"/>
      <c r="H52" s="88"/>
      <c r="I52" s="103"/>
      <c r="J52" s="99"/>
    </row>
    <row r="53" spans="1:10" x14ac:dyDescent="0.25">
      <c r="A53" s="1"/>
      <c r="B53" s="1"/>
      <c r="C53" s="26"/>
      <c r="D53" s="14"/>
      <c r="E53" s="14"/>
      <c r="F53" s="15"/>
      <c r="G53" s="15"/>
      <c r="H53" s="14"/>
    </row>
    <row r="68" spans="2:8" ht="15.75" x14ac:dyDescent="0.25">
      <c r="B68" s="8"/>
      <c r="C68" s="8"/>
      <c r="D68" s="9"/>
      <c r="E68" s="9"/>
      <c r="F68" s="9"/>
      <c r="G68" s="9"/>
      <c r="H68" s="18"/>
    </row>
  </sheetData>
  <mergeCells count="33">
    <mergeCell ref="I36:I37"/>
    <mergeCell ref="I38:I39"/>
    <mergeCell ref="J36:J39"/>
    <mergeCell ref="J32:J35"/>
    <mergeCell ref="I32:I33"/>
    <mergeCell ref="I34:I35"/>
    <mergeCell ref="J40:J43"/>
    <mergeCell ref="I12:I13"/>
    <mergeCell ref="J49:J52"/>
    <mergeCell ref="J16:J19"/>
    <mergeCell ref="I40:I41"/>
    <mergeCell ref="I14:I15"/>
    <mergeCell ref="J12:J15"/>
    <mergeCell ref="I51:I52"/>
    <mergeCell ref="I44:I45"/>
    <mergeCell ref="J24:J27"/>
    <mergeCell ref="I26:I27"/>
    <mergeCell ref="I24:I25"/>
    <mergeCell ref="I42:I43"/>
    <mergeCell ref="J28:J31"/>
    <mergeCell ref="J20:J23"/>
    <mergeCell ref="I20:I21"/>
    <mergeCell ref="I22:I23"/>
    <mergeCell ref="I30:I31"/>
    <mergeCell ref="J4:J7"/>
    <mergeCell ref="I8:I9"/>
    <mergeCell ref="J8:J11"/>
    <mergeCell ref="I10:I11"/>
    <mergeCell ref="I18:I19"/>
    <mergeCell ref="I16:I17"/>
    <mergeCell ref="I4:I5"/>
    <mergeCell ref="I6:I7"/>
    <mergeCell ref="I28:I29"/>
  </mergeCell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9" zoomScale="120" zoomScaleNormal="120" workbookViewId="0">
      <selection activeCell="B32" sqref="B32"/>
    </sheetView>
  </sheetViews>
  <sheetFormatPr defaultRowHeight="15" x14ac:dyDescent="0.25"/>
  <cols>
    <col min="1" max="1" width="4.28515625" customWidth="1"/>
    <col min="2" max="2" width="18.7109375" customWidth="1"/>
    <col min="3" max="3" width="13.5703125" customWidth="1"/>
    <col min="4" max="4" width="7.140625" customWidth="1"/>
    <col min="5" max="5" width="7.5703125" customWidth="1"/>
    <col min="6" max="6" width="3.85546875" customWidth="1"/>
    <col min="7" max="7" width="5.42578125" customWidth="1"/>
    <col min="8" max="8" width="5" customWidth="1"/>
    <col min="9" max="9" width="6.42578125" customWidth="1"/>
    <col min="10" max="10" width="8.28515625" customWidth="1"/>
  </cols>
  <sheetData>
    <row r="1" spans="1:12" ht="18.75" x14ac:dyDescent="0.3">
      <c r="A1" s="33"/>
      <c r="B1" s="28" t="s">
        <v>39</v>
      </c>
      <c r="C1" s="27"/>
      <c r="D1" s="27"/>
      <c r="E1" s="32" t="s">
        <v>40</v>
      </c>
      <c r="F1" s="32"/>
      <c r="G1" s="30"/>
      <c r="H1" s="29" t="s">
        <v>1</v>
      </c>
      <c r="I1" s="27"/>
      <c r="J1" s="27"/>
      <c r="K1" s="27"/>
      <c r="L1" s="27"/>
    </row>
    <row r="2" spans="1:12" x14ac:dyDescent="0.25">
      <c r="A2" s="33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45"/>
      <c r="B3" s="44" t="s">
        <v>2</v>
      </c>
      <c r="C3" s="44" t="s">
        <v>3</v>
      </c>
      <c r="D3" s="44" t="s">
        <v>4</v>
      </c>
      <c r="E3" s="44" t="s">
        <v>5</v>
      </c>
      <c r="F3" s="44">
        <v>9</v>
      </c>
      <c r="G3" s="44" t="s">
        <v>6</v>
      </c>
      <c r="H3" s="37"/>
      <c r="I3" s="37"/>
      <c r="J3" s="27"/>
      <c r="K3" s="27"/>
      <c r="L3" s="27"/>
    </row>
    <row r="4" spans="1:12" x14ac:dyDescent="0.25">
      <c r="A4" s="46" t="s">
        <v>7</v>
      </c>
      <c r="B4" s="34" t="s">
        <v>41</v>
      </c>
      <c r="C4" s="76" t="s">
        <v>107</v>
      </c>
      <c r="D4" s="35">
        <f>93+96+85+82</f>
        <v>356</v>
      </c>
      <c r="E4" s="35">
        <f>52+54+41+53</f>
        <v>200</v>
      </c>
      <c r="F4" s="35">
        <v>9</v>
      </c>
      <c r="G4" s="35">
        <v>7</v>
      </c>
      <c r="H4" s="34">
        <f>+D4+E4</f>
        <v>556</v>
      </c>
      <c r="I4" s="102">
        <f>+H4+H5</f>
        <v>1009</v>
      </c>
      <c r="J4" s="101">
        <f>+I4+I6</f>
        <v>2004</v>
      </c>
      <c r="K4" s="27"/>
      <c r="L4" s="27"/>
    </row>
    <row r="5" spans="1:12" x14ac:dyDescent="0.25">
      <c r="A5" s="46"/>
      <c r="B5" s="41" t="s">
        <v>42</v>
      </c>
      <c r="C5" s="76" t="s">
        <v>107</v>
      </c>
      <c r="D5" s="31">
        <f>76+93+73+77</f>
        <v>319</v>
      </c>
      <c r="E5" s="86">
        <f>33+27+41+33</f>
        <v>134</v>
      </c>
      <c r="F5" s="31">
        <v>3</v>
      </c>
      <c r="G5" s="86">
        <v>12</v>
      </c>
      <c r="H5" s="71">
        <f t="shared" ref="H5:H7" si="0">+D5+E5</f>
        <v>453</v>
      </c>
      <c r="I5" s="102"/>
      <c r="J5" s="99"/>
      <c r="K5" s="27"/>
      <c r="L5" s="27"/>
    </row>
    <row r="6" spans="1:12" x14ac:dyDescent="0.25">
      <c r="A6" s="46"/>
      <c r="B6" s="41" t="s">
        <v>43</v>
      </c>
      <c r="C6" s="76" t="s">
        <v>107</v>
      </c>
      <c r="D6" s="31">
        <f>89+86+94+94</f>
        <v>363</v>
      </c>
      <c r="E6" s="31">
        <f>42+27+24+45</f>
        <v>138</v>
      </c>
      <c r="F6" s="31">
        <v>6</v>
      </c>
      <c r="G6" s="31">
        <v>14</v>
      </c>
      <c r="H6" s="71">
        <f t="shared" si="0"/>
        <v>501</v>
      </c>
      <c r="I6" s="102">
        <f t="shared" ref="I6" si="1">+H6+H7</f>
        <v>995</v>
      </c>
      <c r="J6" s="99"/>
      <c r="K6" s="27"/>
      <c r="L6" s="27"/>
    </row>
    <row r="7" spans="1:12" x14ac:dyDescent="0.25">
      <c r="A7" s="45"/>
      <c r="B7" s="37" t="s">
        <v>44</v>
      </c>
      <c r="C7" s="43" t="s">
        <v>107</v>
      </c>
      <c r="D7" s="38">
        <f>80+91+84+89</f>
        <v>344</v>
      </c>
      <c r="E7" s="38">
        <f>32+40+35+43</f>
        <v>150</v>
      </c>
      <c r="F7" s="38">
        <v>3</v>
      </c>
      <c r="G7" s="38">
        <v>12</v>
      </c>
      <c r="H7" s="72">
        <f t="shared" si="0"/>
        <v>494</v>
      </c>
      <c r="I7" s="104"/>
      <c r="J7" s="100"/>
      <c r="K7" s="27"/>
      <c r="L7" s="27"/>
    </row>
    <row r="8" spans="1:12" ht="15" customHeight="1" x14ac:dyDescent="0.25">
      <c r="A8" s="47" t="s">
        <v>8</v>
      </c>
      <c r="B8" s="34" t="s">
        <v>45</v>
      </c>
      <c r="C8" s="34" t="s">
        <v>46</v>
      </c>
      <c r="D8" s="35">
        <f>84+73+71+74</f>
        <v>302</v>
      </c>
      <c r="E8" s="36">
        <f>32+33+35+18</f>
        <v>118</v>
      </c>
      <c r="F8" s="35">
        <v>1</v>
      </c>
      <c r="G8" s="36">
        <v>18</v>
      </c>
      <c r="H8" s="71">
        <f t="shared" ref="H8:H20" si="2">+D8+E8</f>
        <v>420</v>
      </c>
      <c r="I8" s="102">
        <f t="shared" ref="I8" si="3">+H8+H9</f>
        <v>898</v>
      </c>
      <c r="J8" s="101">
        <f t="shared" ref="J8" si="4">+I8+I10</f>
        <v>1879</v>
      </c>
      <c r="K8" s="27"/>
      <c r="L8" s="27"/>
    </row>
    <row r="9" spans="1:12" ht="15" customHeight="1" x14ac:dyDescent="0.25">
      <c r="A9" s="46"/>
      <c r="B9" s="41" t="s">
        <v>49</v>
      </c>
      <c r="C9" s="34" t="s">
        <v>46</v>
      </c>
      <c r="D9" s="35">
        <f>78+88+93+87</f>
        <v>346</v>
      </c>
      <c r="E9" s="35">
        <f>18+44+26+44</f>
        <v>132</v>
      </c>
      <c r="F9" s="91">
        <v>2</v>
      </c>
      <c r="G9" s="35">
        <v>15</v>
      </c>
      <c r="H9" s="71">
        <f t="shared" si="2"/>
        <v>478</v>
      </c>
      <c r="I9" s="102"/>
      <c r="J9" s="99"/>
      <c r="K9" s="27"/>
      <c r="L9" s="42"/>
    </row>
    <row r="10" spans="1:12" ht="15" customHeight="1" x14ac:dyDescent="0.25">
      <c r="A10" s="46"/>
      <c r="B10" s="34" t="s">
        <v>47</v>
      </c>
      <c r="C10" s="34" t="s">
        <v>46</v>
      </c>
      <c r="D10" s="35">
        <f>83+87+91+73</f>
        <v>334</v>
      </c>
      <c r="E10" s="35">
        <f>35+41+36+43</f>
        <v>155</v>
      </c>
      <c r="F10" s="35">
        <v>3</v>
      </c>
      <c r="G10" s="35">
        <v>6</v>
      </c>
      <c r="H10" s="71">
        <f t="shared" si="2"/>
        <v>489</v>
      </c>
      <c r="I10" s="102">
        <f t="shared" ref="I10" si="5">+H10+H11</f>
        <v>981</v>
      </c>
      <c r="J10" s="99"/>
      <c r="K10" s="27"/>
      <c r="L10" s="27"/>
    </row>
    <row r="11" spans="1:12" ht="15" customHeight="1" x14ac:dyDescent="0.25">
      <c r="A11" s="45"/>
      <c r="B11" s="76" t="s">
        <v>126</v>
      </c>
      <c r="C11" s="37" t="s">
        <v>46</v>
      </c>
      <c r="D11" s="38">
        <f>91+86+84+87</f>
        <v>348</v>
      </c>
      <c r="E11" s="38">
        <f>41+35+41+27</f>
        <v>144</v>
      </c>
      <c r="F11" s="38">
        <v>3</v>
      </c>
      <c r="G11" s="38">
        <v>12</v>
      </c>
      <c r="H11" s="72">
        <f t="shared" si="2"/>
        <v>492</v>
      </c>
      <c r="I11" s="104"/>
      <c r="J11" s="100"/>
      <c r="K11" s="27"/>
      <c r="L11" s="27"/>
    </row>
    <row r="12" spans="1:12" ht="15" customHeight="1" x14ac:dyDescent="0.25">
      <c r="A12" s="47" t="s">
        <v>9</v>
      </c>
      <c r="B12" s="39" t="s">
        <v>55</v>
      </c>
      <c r="C12" s="71" t="s">
        <v>125</v>
      </c>
      <c r="D12" s="40">
        <f>94+84+91+89</f>
        <v>358</v>
      </c>
      <c r="E12" s="40">
        <f>27+42+51+26</f>
        <v>146</v>
      </c>
      <c r="F12" s="40">
        <v>2</v>
      </c>
      <c r="G12" s="40">
        <v>12</v>
      </c>
      <c r="H12" s="71">
        <f t="shared" si="2"/>
        <v>504</v>
      </c>
      <c r="I12" s="102">
        <f t="shared" ref="I12" si="6">+H12+H13</f>
        <v>961</v>
      </c>
      <c r="J12" s="101">
        <f t="shared" ref="J12" si="7">+I12+I14</f>
        <v>1865</v>
      </c>
      <c r="K12" s="27"/>
      <c r="L12" s="27"/>
    </row>
    <row r="13" spans="1:12" ht="15" customHeight="1" x14ac:dyDescent="0.25">
      <c r="A13" s="46"/>
      <c r="B13" s="76" t="s">
        <v>124</v>
      </c>
      <c r="C13" s="71" t="s">
        <v>125</v>
      </c>
      <c r="D13" s="35">
        <f>75+73+81+90</f>
        <v>319</v>
      </c>
      <c r="E13" s="35">
        <f>42+34+27+35</f>
        <v>138</v>
      </c>
      <c r="F13" s="35">
        <v>2</v>
      </c>
      <c r="G13" s="35">
        <v>13</v>
      </c>
      <c r="H13" s="71">
        <f t="shared" si="2"/>
        <v>457</v>
      </c>
      <c r="I13" s="102"/>
      <c r="J13" s="99"/>
      <c r="K13" s="27"/>
      <c r="L13" s="42"/>
    </row>
    <row r="14" spans="1:12" ht="15" customHeight="1" x14ac:dyDescent="0.25">
      <c r="A14" s="46"/>
      <c r="B14" s="66" t="s">
        <v>123</v>
      </c>
      <c r="C14" s="71" t="s">
        <v>125</v>
      </c>
      <c r="D14" s="35">
        <f>84+90+66+80</f>
        <v>320</v>
      </c>
      <c r="E14" s="35">
        <f>45+41+40+25</f>
        <v>151</v>
      </c>
      <c r="F14" s="35">
        <v>1</v>
      </c>
      <c r="G14" s="35">
        <v>8</v>
      </c>
      <c r="H14" s="71">
        <f t="shared" si="2"/>
        <v>471</v>
      </c>
      <c r="I14" s="102">
        <f t="shared" ref="I14" si="8">+H14+H15</f>
        <v>904</v>
      </c>
      <c r="J14" s="99"/>
      <c r="K14" s="27"/>
      <c r="L14" s="27"/>
    </row>
    <row r="15" spans="1:12" ht="15" customHeight="1" x14ac:dyDescent="0.25">
      <c r="A15" s="45"/>
      <c r="B15" s="37" t="s">
        <v>52</v>
      </c>
      <c r="C15" s="71" t="s">
        <v>125</v>
      </c>
      <c r="D15" s="38">
        <f>68+69+90+76</f>
        <v>303</v>
      </c>
      <c r="E15" s="38">
        <f>34+36+25+35</f>
        <v>130</v>
      </c>
      <c r="F15" s="38">
        <v>3</v>
      </c>
      <c r="G15" s="38">
        <v>11</v>
      </c>
      <c r="H15" s="72">
        <f t="shared" si="2"/>
        <v>433</v>
      </c>
      <c r="I15" s="104"/>
      <c r="J15" s="100"/>
      <c r="K15" s="27"/>
      <c r="L15" s="27"/>
    </row>
    <row r="16" spans="1:12" ht="15" customHeight="1" x14ac:dyDescent="0.25">
      <c r="A16" s="47" t="s">
        <v>13</v>
      </c>
      <c r="B16" s="39" t="s">
        <v>53</v>
      </c>
      <c r="C16" s="39" t="s">
        <v>115</v>
      </c>
      <c r="D16" s="31">
        <f>78+81+72+79</f>
        <v>310</v>
      </c>
      <c r="E16" s="31">
        <f>27+26+25+41</f>
        <v>119</v>
      </c>
      <c r="F16" s="31">
        <v>1</v>
      </c>
      <c r="G16" s="31">
        <v>20</v>
      </c>
      <c r="H16" s="71">
        <f t="shared" si="2"/>
        <v>429</v>
      </c>
      <c r="I16" s="102">
        <f t="shared" ref="I16" si="9">+H16+H17</f>
        <v>904</v>
      </c>
      <c r="J16" s="101">
        <f>+I16+I18</f>
        <v>1821</v>
      </c>
      <c r="K16" s="27"/>
      <c r="L16" s="27"/>
    </row>
    <row r="17" spans="1:11" ht="15" customHeight="1" x14ac:dyDescent="0.25">
      <c r="A17" s="46"/>
      <c r="B17" s="76" t="s">
        <v>114</v>
      </c>
      <c r="C17" s="71" t="s">
        <v>115</v>
      </c>
      <c r="D17" s="31">
        <f>85+84+97+82</f>
        <v>348</v>
      </c>
      <c r="E17" s="31">
        <f>35+34+23+35</f>
        <v>127</v>
      </c>
      <c r="F17" s="31">
        <v>3</v>
      </c>
      <c r="G17" s="31">
        <v>15</v>
      </c>
      <c r="H17" s="71">
        <f t="shared" si="2"/>
        <v>475</v>
      </c>
      <c r="I17" s="102"/>
      <c r="J17" s="107"/>
      <c r="K17" s="27"/>
    </row>
    <row r="18" spans="1:11" ht="15" customHeight="1" x14ac:dyDescent="0.25">
      <c r="A18" s="46"/>
      <c r="B18" s="34" t="s">
        <v>51</v>
      </c>
      <c r="C18" s="71" t="s">
        <v>115</v>
      </c>
      <c r="D18" s="31">
        <f>75+77+71+75</f>
        <v>298</v>
      </c>
      <c r="E18" s="31">
        <f>26+35+35+26</f>
        <v>122</v>
      </c>
      <c r="F18" s="31">
        <v>1</v>
      </c>
      <c r="G18" s="31">
        <v>25</v>
      </c>
      <c r="H18" s="71">
        <f t="shared" si="2"/>
        <v>420</v>
      </c>
      <c r="I18" s="102">
        <f t="shared" ref="I18" si="10">+H18+H19</f>
        <v>917</v>
      </c>
      <c r="J18" s="107"/>
      <c r="K18" s="27"/>
    </row>
    <row r="19" spans="1:11" ht="15" customHeight="1" x14ac:dyDescent="0.25">
      <c r="A19" s="45"/>
      <c r="B19" s="72" t="s">
        <v>54</v>
      </c>
      <c r="C19" s="72" t="s">
        <v>115</v>
      </c>
      <c r="D19" s="31">
        <f>87+77+85+86</f>
        <v>335</v>
      </c>
      <c r="E19" s="31">
        <f>36+50+43+33</f>
        <v>162</v>
      </c>
      <c r="F19" s="31">
        <v>5</v>
      </c>
      <c r="G19" s="31">
        <v>13</v>
      </c>
      <c r="H19" s="71">
        <f t="shared" si="2"/>
        <v>497</v>
      </c>
      <c r="I19" s="102"/>
      <c r="J19" s="100"/>
      <c r="K19" s="27"/>
    </row>
    <row r="20" spans="1:11" ht="15" customHeight="1" x14ac:dyDescent="0.25">
      <c r="A20" s="47" t="s">
        <v>14</v>
      </c>
      <c r="B20" s="27" t="s">
        <v>56</v>
      </c>
      <c r="C20" s="76" t="s">
        <v>113</v>
      </c>
      <c r="D20" s="40">
        <f>61+55+68+84</f>
        <v>268</v>
      </c>
      <c r="E20" s="40">
        <f>9+17+24+14</f>
        <v>64</v>
      </c>
      <c r="F20" s="40">
        <v>0</v>
      </c>
      <c r="G20" s="40">
        <v>32</v>
      </c>
      <c r="H20" s="39">
        <f t="shared" si="2"/>
        <v>332</v>
      </c>
      <c r="I20" s="105">
        <f>+H20+H21</f>
        <v>675</v>
      </c>
      <c r="J20" s="101">
        <f>+I20+I22</f>
        <v>1615</v>
      </c>
      <c r="K20" s="27"/>
    </row>
    <row r="21" spans="1:11" ht="15" customHeight="1" x14ac:dyDescent="0.25">
      <c r="A21" s="46"/>
      <c r="B21" s="34" t="s">
        <v>57</v>
      </c>
      <c r="C21" s="76" t="s">
        <v>113</v>
      </c>
      <c r="D21" s="35">
        <f>68+57+57+60</f>
        <v>242</v>
      </c>
      <c r="E21" s="35">
        <f>34+8+35+24</f>
        <v>101</v>
      </c>
      <c r="F21" s="35">
        <v>3</v>
      </c>
      <c r="G21" s="35">
        <v>25</v>
      </c>
      <c r="H21" s="71">
        <f t="shared" ref="H21:H23" si="11">+D21+E21</f>
        <v>343</v>
      </c>
      <c r="I21" s="102"/>
      <c r="J21" s="99"/>
      <c r="K21" s="27"/>
    </row>
    <row r="22" spans="1:11" ht="15" customHeight="1" x14ac:dyDescent="0.25">
      <c r="A22" s="46"/>
      <c r="B22" s="34" t="s">
        <v>58</v>
      </c>
      <c r="C22" s="76" t="s">
        <v>113</v>
      </c>
      <c r="D22" s="35">
        <f>76+91+82+92</f>
        <v>341</v>
      </c>
      <c r="E22" s="35">
        <f>45+25+36+44</f>
        <v>150</v>
      </c>
      <c r="F22" s="35">
        <v>6</v>
      </c>
      <c r="G22" s="35">
        <v>10</v>
      </c>
      <c r="H22" s="71">
        <f t="shared" si="11"/>
        <v>491</v>
      </c>
      <c r="I22" s="102">
        <f>+H22+H23</f>
        <v>940</v>
      </c>
      <c r="J22" s="99"/>
      <c r="K22" s="27"/>
    </row>
    <row r="23" spans="1:11" ht="15" customHeight="1" x14ac:dyDescent="0.25">
      <c r="A23" s="45"/>
      <c r="B23" s="37" t="s">
        <v>59</v>
      </c>
      <c r="C23" s="43" t="s">
        <v>113</v>
      </c>
      <c r="D23" s="38">
        <f>87+81+85+76</f>
        <v>329</v>
      </c>
      <c r="E23" s="38">
        <f>23+27+27+43</f>
        <v>120</v>
      </c>
      <c r="F23" s="38">
        <v>1</v>
      </c>
      <c r="G23" s="38">
        <v>9</v>
      </c>
      <c r="H23" s="72">
        <f t="shared" si="11"/>
        <v>449</v>
      </c>
      <c r="I23" s="104"/>
      <c r="J23" s="100"/>
      <c r="K23" s="27"/>
    </row>
    <row r="24" spans="1:11" ht="15" customHeight="1" x14ac:dyDescent="0.25">
      <c r="A24" s="47"/>
      <c r="K24" s="27"/>
    </row>
    <row r="25" spans="1:11" ht="15" customHeight="1" x14ac:dyDescent="0.25">
      <c r="A25" s="46"/>
      <c r="K25" s="27"/>
    </row>
    <row r="26" spans="1:11" ht="15" customHeight="1" x14ac:dyDescent="0.25">
      <c r="A26" s="33"/>
      <c r="B26" s="39" t="s">
        <v>108</v>
      </c>
      <c r="C26" s="40" t="s">
        <v>110</v>
      </c>
      <c r="D26" s="40">
        <f>88+80+86+96</f>
        <v>350</v>
      </c>
      <c r="E26" s="40">
        <f>45+36+49+43</f>
        <v>173</v>
      </c>
      <c r="F26" s="40">
        <v>7</v>
      </c>
      <c r="G26" s="40">
        <v>8</v>
      </c>
      <c r="H26" s="39">
        <f>+D26+E26</f>
        <v>523</v>
      </c>
      <c r="I26" s="105">
        <f>+H26+H27</f>
        <v>1009</v>
      </c>
      <c r="K26" s="27"/>
    </row>
    <row r="27" spans="1:11" ht="15" customHeight="1" x14ac:dyDescent="0.25">
      <c r="A27" s="27"/>
      <c r="B27" s="76" t="s">
        <v>109</v>
      </c>
      <c r="C27" s="84" t="s">
        <v>110</v>
      </c>
      <c r="D27" s="35">
        <f>87+82+86+86</f>
        <v>341</v>
      </c>
      <c r="E27" s="35">
        <f>32+36+41+36</f>
        <v>145</v>
      </c>
      <c r="F27" s="35">
        <v>2</v>
      </c>
      <c r="G27" s="35">
        <v>8</v>
      </c>
      <c r="H27" s="71">
        <f>+D27+E27</f>
        <v>486</v>
      </c>
      <c r="I27" s="102"/>
      <c r="K27" s="27"/>
    </row>
    <row r="28" spans="1:11" ht="15" customHeight="1" x14ac:dyDescent="0.25">
      <c r="A28" s="46"/>
      <c r="K28" s="81"/>
    </row>
    <row r="29" spans="1:11" ht="15" customHeight="1" x14ac:dyDescent="0.25">
      <c r="A29" s="48"/>
      <c r="K29" s="81"/>
    </row>
    <row r="30" spans="1:11" ht="15" customHeight="1" x14ac:dyDescent="0.25">
      <c r="A30" s="48"/>
      <c r="K30" s="81"/>
    </row>
    <row r="31" spans="1:11" ht="15" customHeight="1" x14ac:dyDescent="0.25">
      <c r="A31" s="48"/>
      <c r="B31" s="71"/>
      <c r="C31" s="71"/>
      <c r="D31" s="71"/>
      <c r="E31" s="71"/>
      <c r="F31" s="71"/>
      <c r="G31" s="71"/>
      <c r="H31" s="71"/>
      <c r="I31" s="71"/>
      <c r="J31" s="71"/>
      <c r="K31" s="81"/>
    </row>
    <row r="32" spans="1:11" ht="15" customHeight="1" x14ac:dyDescent="0.25">
      <c r="J32" s="80"/>
      <c r="K32" s="27"/>
    </row>
    <row r="33" spans="1:11" ht="15" customHeight="1" x14ac:dyDescent="0.25">
      <c r="J33" s="80"/>
      <c r="K33" s="27"/>
    </row>
    <row r="34" spans="1:11" ht="15" customHeight="1" x14ac:dyDescent="0.25">
      <c r="A34" s="27"/>
      <c r="B34" s="34"/>
      <c r="C34" s="34"/>
      <c r="D34" s="35"/>
      <c r="E34" s="35"/>
      <c r="F34" s="35"/>
      <c r="G34" s="35"/>
      <c r="H34" s="34"/>
      <c r="I34" s="102"/>
      <c r="J34" s="80"/>
      <c r="K34" s="27"/>
    </row>
    <row r="35" spans="1:11" ht="15" customHeight="1" x14ac:dyDescent="0.25">
      <c r="A35" s="48"/>
      <c r="B35" s="71"/>
      <c r="C35" s="71"/>
      <c r="D35" s="35"/>
      <c r="E35" s="35"/>
      <c r="F35" s="35"/>
      <c r="G35" s="35"/>
      <c r="H35" s="71"/>
      <c r="I35" s="102"/>
      <c r="J35" s="80"/>
      <c r="K35" s="27"/>
    </row>
    <row r="36" spans="1:11" x14ac:dyDescent="0.25">
      <c r="A36" s="48"/>
      <c r="B36" s="71"/>
      <c r="C36" s="71"/>
      <c r="D36" s="71"/>
      <c r="E36" s="71"/>
      <c r="F36" s="71"/>
      <c r="G36" s="71"/>
      <c r="H36" s="71"/>
      <c r="I36" s="71"/>
      <c r="J36" s="71"/>
      <c r="K36" s="27"/>
    </row>
    <row r="37" spans="1:11" x14ac:dyDescent="0.25">
      <c r="A37" s="48"/>
      <c r="B37" s="71"/>
      <c r="C37" s="71"/>
      <c r="D37" s="71"/>
      <c r="E37" s="71"/>
      <c r="F37" s="71"/>
      <c r="G37" s="71"/>
      <c r="H37" s="71"/>
      <c r="I37" s="71"/>
      <c r="J37" s="71"/>
      <c r="K37" s="27"/>
    </row>
    <row r="38" spans="1:11" x14ac:dyDescent="0.25">
      <c r="A38" s="48"/>
      <c r="B38" s="71"/>
      <c r="C38" s="71"/>
      <c r="D38" s="71"/>
      <c r="E38" s="71"/>
      <c r="F38" s="71"/>
      <c r="G38" s="71"/>
      <c r="H38" s="71"/>
      <c r="I38" s="71"/>
      <c r="J38" s="71"/>
      <c r="K38" s="27"/>
    </row>
    <row r="39" spans="1:11" x14ac:dyDescent="0.25">
      <c r="A39" s="48"/>
      <c r="B39" s="71"/>
      <c r="C39" s="71"/>
      <c r="D39" s="71"/>
      <c r="E39" s="71"/>
      <c r="F39" s="71"/>
      <c r="G39" s="71"/>
      <c r="H39" s="71"/>
      <c r="I39" s="71"/>
      <c r="J39" s="71"/>
      <c r="K39" s="27"/>
    </row>
    <row r="40" spans="1:11" ht="18.75" x14ac:dyDescent="0.25">
      <c r="A40" s="48"/>
      <c r="B40" s="76"/>
      <c r="C40" s="71"/>
      <c r="D40" s="35"/>
      <c r="E40" s="35"/>
      <c r="F40" s="35"/>
      <c r="G40" s="35"/>
      <c r="H40" s="71"/>
      <c r="I40" s="102"/>
      <c r="J40" s="80"/>
      <c r="K40" s="27"/>
    </row>
    <row r="41" spans="1:11" x14ac:dyDescent="0.25">
      <c r="A41" s="46"/>
      <c r="B41" s="71"/>
      <c r="C41" s="71"/>
      <c r="D41" s="35"/>
      <c r="E41" s="35"/>
      <c r="F41" s="35"/>
      <c r="G41" s="35"/>
      <c r="H41" s="71"/>
      <c r="I41" s="102"/>
      <c r="J41" s="71"/>
      <c r="K41" s="27"/>
    </row>
    <row r="42" spans="1:11" x14ac:dyDescent="0.25">
      <c r="A42" s="71"/>
      <c r="B42" s="71"/>
      <c r="C42" s="92"/>
      <c r="D42" s="93"/>
      <c r="E42" s="93"/>
      <c r="F42" s="94"/>
      <c r="G42" s="94"/>
      <c r="H42" s="93"/>
      <c r="I42" s="71"/>
      <c r="J42" s="71"/>
      <c r="K42" s="27"/>
    </row>
    <row r="43" spans="1:1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</row>
    <row r="47" spans="1:11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108"/>
    </row>
    <row r="48" spans="1:11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108"/>
    </row>
    <row r="49" spans="11:11" x14ac:dyDescent="0.25">
      <c r="K49" s="108"/>
    </row>
    <row r="50" spans="11:11" x14ac:dyDescent="0.25">
      <c r="K50" s="108"/>
    </row>
    <row r="51" spans="11:11" x14ac:dyDescent="0.25">
      <c r="K51" s="27"/>
    </row>
  </sheetData>
  <mergeCells count="19">
    <mergeCell ref="I10:I11"/>
    <mergeCell ref="J12:J15"/>
    <mergeCell ref="J16:J19"/>
    <mergeCell ref="K47:K50"/>
    <mergeCell ref="I12:I13"/>
    <mergeCell ref="I14:I15"/>
    <mergeCell ref="I34:I35"/>
    <mergeCell ref="I4:I5"/>
    <mergeCell ref="J4:J7"/>
    <mergeCell ref="I6:I7"/>
    <mergeCell ref="I16:I17"/>
    <mergeCell ref="I18:I19"/>
    <mergeCell ref="I26:I27"/>
    <mergeCell ref="I40:I41"/>
    <mergeCell ref="I22:I23"/>
    <mergeCell ref="J20:J23"/>
    <mergeCell ref="I8:I9"/>
    <mergeCell ref="J8:J11"/>
    <mergeCell ref="I20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zoomScale="110" zoomScaleNormal="110" workbookViewId="0">
      <selection activeCell="D50" sqref="D50"/>
    </sheetView>
  </sheetViews>
  <sheetFormatPr defaultRowHeight="15" x14ac:dyDescent="0.25"/>
  <cols>
    <col min="1" max="1" width="6.5703125" customWidth="1"/>
    <col min="2" max="2" width="18.7109375" customWidth="1"/>
    <col min="3" max="3" width="15.85546875" customWidth="1"/>
    <col min="4" max="4" width="7.5703125" customWidth="1"/>
    <col min="5" max="5" width="4.42578125" customWidth="1"/>
    <col min="6" max="6" width="2.7109375" customWidth="1"/>
    <col min="7" max="7" width="1.5703125" customWidth="1"/>
    <col min="8" max="8" width="5.42578125" customWidth="1"/>
    <col min="9" max="9" width="14.85546875" customWidth="1"/>
    <col min="10" max="10" width="14.5703125" customWidth="1"/>
    <col min="11" max="11" width="7" customWidth="1"/>
    <col min="12" max="12" width="5.5703125" customWidth="1"/>
    <col min="13" max="13" width="2.28515625" customWidth="1"/>
    <col min="14" max="14" width="4.140625" customWidth="1"/>
    <col min="15" max="15" width="19.28515625" customWidth="1"/>
    <col min="16" max="16" width="10.42578125" customWidth="1"/>
    <col min="17" max="17" width="5.5703125" customWidth="1"/>
  </cols>
  <sheetData>
    <row r="1" spans="1:17" ht="18.75" x14ac:dyDescent="0.3">
      <c r="A1" s="49"/>
      <c r="B1" s="4" t="s">
        <v>39</v>
      </c>
      <c r="C1" s="49"/>
      <c r="D1" s="49"/>
      <c r="E1" s="49"/>
      <c r="F1" s="49"/>
      <c r="G1" s="49"/>
      <c r="H1" s="49"/>
      <c r="I1" s="49"/>
      <c r="J1" s="60"/>
      <c r="K1" s="49"/>
      <c r="L1" s="49"/>
      <c r="M1" s="49"/>
      <c r="N1" s="49"/>
      <c r="O1" s="49"/>
      <c r="P1" s="49"/>
      <c r="Q1" s="49"/>
    </row>
    <row r="2" spans="1:17" ht="6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15.75" x14ac:dyDescent="0.25">
      <c r="A3" s="49"/>
      <c r="B3" s="65" t="s">
        <v>60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8.2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x14ac:dyDescent="0.25">
      <c r="A5" s="49"/>
      <c r="B5" s="53" t="s">
        <v>61</v>
      </c>
      <c r="C5" s="52"/>
      <c r="D5" s="53"/>
      <c r="E5" s="54"/>
      <c r="F5" s="54"/>
      <c r="G5" s="54"/>
      <c r="H5" s="52"/>
      <c r="I5" s="53" t="s">
        <v>62</v>
      </c>
      <c r="J5" s="52"/>
      <c r="K5" s="49"/>
      <c r="L5" s="64"/>
      <c r="M5" s="52"/>
      <c r="N5" s="52"/>
      <c r="O5" s="53" t="s">
        <v>63</v>
      </c>
      <c r="P5" s="49"/>
      <c r="Q5" s="49"/>
    </row>
    <row r="6" spans="1:17" ht="6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7" x14ac:dyDescent="0.25">
      <c r="A7" s="53" t="s">
        <v>7</v>
      </c>
      <c r="B7" s="76" t="s">
        <v>105</v>
      </c>
      <c r="C7" s="76" t="s">
        <v>102</v>
      </c>
      <c r="D7" s="51">
        <v>575</v>
      </c>
      <c r="F7" s="55"/>
      <c r="G7" s="49"/>
      <c r="H7" s="53" t="s">
        <v>7</v>
      </c>
      <c r="I7" s="71" t="s">
        <v>41</v>
      </c>
      <c r="J7" s="76" t="s">
        <v>107</v>
      </c>
      <c r="K7" s="51">
        <v>556</v>
      </c>
      <c r="L7" s="49"/>
      <c r="M7" s="49"/>
      <c r="N7" s="53" t="s">
        <v>7</v>
      </c>
      <c r="O7" s="71" t="s">
        <v>108</v>
      </c>
      <c r="P7" s="35" t="s">
        <v>110</v>
      </c>
      <c r="Q7" s="50">
        <v>523</v>
      </c>
    </row>
    <row r="8" spans="1:17" x14ac:dyDescent="0.25">
      <c r="A8" s="53" t="s">
        <v>8</v>
      </c>
      <c r="B8" s="76" t="s">
        <v>20</v>
      </c>
      <c r="C8" s="76" t="s">
        <v>130</v>
      </c>
      <c r="D8" s="51">
        <v>574</v>
      </c>
      <c r="F8" s="55"/>
      <c r="G8" s="49"/>
      <c r="H8" s="53" t="s">
        <v>8</v>
      </c>
      <c r="I8" s="71" t="s">
        <v>48</v>
      </c>
      <c r="J8" s="71" t="s">
        <v>24</v>
      </c>
      <c r="K8" s="51">
        <v>543</v>
      </c>
      <c r="L8" s="49"/>
      <c r="M8" s="49"/>
      <c r="N8" s="53" t="s">
        <v>8</v>
      </c>
      <c r="O8" s="71" t="s">
        <v>54</v>
      </c>
      <c r="P8" s="71" t="s">
        <v>115</v>
      </c>
      <c r="Q8" s="50">
        <v>497</v>
      </c>
    </row>
    <row r="9" spans="1:17" x14ac:dyDescent="0.25">
      <c r="A9" s="53" t="s">
        <v>9</v>
      </c>
      <c r="B9" s="76" t="s">
        <v>104</v>
      </c>
      <c r="C9" s="76" t="s">
        <v>102</v>
      </c>
      <c r="D9" s="51">
        <v>567</v>
      </c>
      <c r="F9" s="49"/>
      <c r="G9" s="49"/>
      <c r="H9" s="53" t="s">
        <v>9</v>
      </c>
      <c r="I9" s="71" t="s">
        <v>55</v>
      </c>
      <c r="J9" s="71" t="s">
        <v>125</v>
      </c>
      <c r="K9" s="51">
        <v>504</v>
      </c>
      <c r="L9" s="49"/>
      <c r="M9" s="49"/>
      <c r="N9" s="53" t="s">
        <v>9</v>
      </c>
      <c r="O9" s="76" t="s">
        <v>109</v>
      </c>
      <c r="P9" s="84" t="s">
        <v>110</v>
      </c>
      <c r="Q9" s="50">
        <v>486</v>
      </c>
    </row>
    <row r="10" spans="1:17" x14ac:dyDescent="0.25">
      <c r="A10" s="53" t="s">
        <v>13</v>
      </c>
      <c r="B10" s="76" t="s">
        <v>117</v>
      </c>
      <c r="C10" s="76" t="s">
        <v>15</v>
      </c>
      <c r="D10" s="51">
        <v>563</v>
      </c>
      <c r="F10" s="49"/>
      <c r="G10" s="49"/>
      <c r="H10" s="53" t="s">
        <v>13</v>
      </c>
      <c r="I10" s="76" t="s">
        <v>43</v>
      </c>
      <c r="J10" s="76" t="s">
        <v>107</v>
      </c>
      <c r="K10" s="51">
        <v>501</v>
      </c>
      <c r="L10" s="49"/>
      <c r="M10" s="49"/>
      <c r="N10" s="53" t="s">
        <v>13</v>
      </c>
      <c r="O10" s="71" t="s">
        <v>51</v>
      </c>
      <c r="P10" s="71" t="s">
        <v>115</v>
      </c>
      <c r="Q10" s="50">
        <v>420</v>
      </c>
    </row>
    <row r="11" spans="1:17" x14ac:dyDescent="0.25">
      <c r="A11" s="53" t="s">
        <v>14</v>
      </c>
      <c r="B11" s="71" t="s">
        <v>10</v>
      </c>
      <c r="C11" s="71" t="s">
        <v>11</v>
      </c>
      <c r="D11" s="51">
        <v>561</v>
      </c>
      <c r="E11" s="49"/>
      <c r="F11" s="49"/>
      <c r="G11" s="49"/>
      <c r="H11" s="53" t="s">
        <v>14</v>
      </c>
      <c r="I11" s="71" t="s">
        <v>44</v>
      </c>
      <c r="J11" s="76" t="s">
        <v>107</v>
      </c>
      <c r="K11" s="51">
        <v>494</v>
      </c>
      <c r="L11" s="49"/>
      <c r="M11" s="49"/>
      <c r="N11" s="53" t="s">
        <v>14</v>
      </c>
    </row>
    <row r="12" spans="1:17" x14ac:dyDescent="0.25">
      <c r="A12" s="53" t="s">
        <v>19</v>
      </c>
      <c r="B12" s="71" t="s">
        <v>12</v>
      </c>
      <c r="C12" s="71" t="s">
        <v>11</v>
      </c>
      <c r="D12" s="51">
        <v>556</v>
      </c>
      <c r="E12" s="49"/>
      <c r="F12" s="49"/>
      <c r="G12" s="49"/>
      <c r="H12" s="53" t="s">
        <v>19</v>
      </c>
      <c r="I12" s="76" t="s">
        <v>126</v>
      </c>
      <c r="J12" s="71" t="s">
        <v>46</v>
      </c>
      <c r="K12" s="51">
        <v>492</v>
      </c>
      <c r="L12" s="49"/>
      <c r="M12" s="49"/>
      <c r="N12" s="53" t="s">
        <v>19</v>
      </c>
      <c r="O12" s="58"/>
      <c r="P12" s="58"/>
      <c r="Q12" s="50"/>
    </row>
    <row r="13" spans="1:17" x14ac:dyDescent="0.25">
      <c r="A13" s="53" t="s">
        <v>22</v>
      </c>
      <c r="B13" s="71" t="s">
        <v>23</v>
      </c>
      <c r="C13" s="71" t="s">
        <v>11</v>
      </c>
      <c r="D13" s="51">
        <v>547</v>
      </c>
      <c r="F13" s="49"/>
      <c r="G13" s="49"/>
      <c r="H13" s="53" t="s">
        <v>22</v>
      </c>
      <c r="I13" s="71" t="s">
        <v>58</v>
      </c>
      <c r="J13" s="76" t="s">
        <v>113</v>
      </c>
      <c r="K13" s="51">
        <v>491</v>
      </c>
      <c r="L13" s="49"/>
      <c r="M13" s="49"/>
      <c r="N13" s="53" t="s">
        <v>22</v>
      </c>
      <c r="O13" s="56"/>
      <c r="P13" s="56"/>
      <c r="Q13" s="50"/>
    </row>
    <row r="14" spans="1:17" x14ac:dyDescent="0.25">
      <c r="A14" s="53" t="s">
        <v>26</v>
      </c>
      <c r="B14" s="76" t="s">
        <v>16</v>
      </c>
      <c r="C14" s="76" t="s">
        <v>15</v>
      </c>
      <c r="D14" s="51">
        <v>545</v>
      </c>
      <c r="F14" s="49"/>
      <c r="G14" s="49"/>
      <c r="H14" s="53" t="s">
        <v>26</v>
      </c>
      <c r="I14" s="71" t="s">
        <v>47</v>
      </c>
      <c r="J14" s="71" t="s">
        <v>46</v>
      </c>
      <c r="K14" s="51">
        <v>489</v>
      </c>
      <c r="L14" s="49"/>
      <c r="M14" s="49"/>
      <c r="N14" s="53" t="s">
        <v>26</v>
      </c>
      <c r="O14" s="49"/>
      <c r="P14" s="49"/>
      <c r="Q14" s="50"/>
    </row>
    <row r="15" spans="1:17" x14ac:dyDescent="0.25">
      <c r="A15" s="53" t="s">
        <v>27</v>
      </c>
      <c r="B15" s="71" t="s">
        <v>129</v>
      </c>
      <c r="C15" s="76" t="s">
        <v>130</v>
      </c>
      <c r="D15" s="51">
        <v>542</v>
      </c>
      <c r="F15" s="49"/>
      <c r="G15" s="49"/>
      <c r="H15" s="53" t="s">
        <v>27</v>
      </c>
      <c r="I15" s="76" t="s">
        <v>49</v>
      </c>
      <c r="J15" s="71" t="s">
        <v>46</v>
      </c>
      <c r="K15" s="51">
        <v>478</v>
      </c>
      <c r="L15" s="49"/>
      <c r="M15" s="49"/>
      <c r="N15" s="53" t="s">
        <v>27</v>
      </c>
      <c r="O15" s="56"/>
      <c r="P15" s="56"/>
      <c r="Q15" s="50"/>
    </row>
    <row r="16" spans="1:17" x14ac:dyDescent="0.25">
      <c r="A16" s="53" t="s">
        <v>29</v>
      </c>
      <c r="B16" s="76" t="s">
        <v>135</v>
      </c>
      <c r="C16" s="76" t="s">
        <v>132</v>
      </c>
      <c r="D16" s="51">
        <v>528</v>
      </c>
      <c r="F16" s="55"/>
      <c r="G16" s="55"/>
      <c r="H16" s="53" t="s">
        <v>29</v>
      </c>
      <c r="I16" s="76" t="s">
        <v>114</v>
      </c>
      <c r="J16" s="71" t="s">
        <v>115</v>
      </c>
      <c r="K16" s="51">
        <v>475</v>
      </c>
      <c r="L16" s="49"/>
      <c r="M16" s="49"/>
      <c r="N16" s="53" t="s">
        <v>29</v>
      </c>
      <c r="O16" s="57"/>
      <c r="P16" s="56"/>
      <c r="Q16" s="50"/>
    </row>
    <row r="17" spans="1:18" x14ac:dyDescent="0.25">
      <c r="A17" s="53" t="s">
        <v>35</v>
      </c>
      <c r="B17" s="66" t="s">
        <v>32</v>
      </c>
      <c r="C17" s="71" t="s">
        <v>31</v>
      </c>
      <c r="D17" s="51">
        <v>527</v>
      </c>
      <c r="E17" s="55">
        <v>181</v>
      </c>
      <c r="F17" s="55"/>
      <c r="G17" s="55"/>
      <c r="H17" s="53" t="s">
        <v>35</v>
      </c>
      <c r="I17" s="71" t="s">
        <v>123</v>
      </c>
      <c r="J17" s="71" t="s">
        <v>125</v>
      </c>
      <c r="K17" s="51">
        <v>471</v>
      </c>
      <c r="L17" s="49"/>
      <c r="M17" s="49"/>
      <c r="N17" s="53" t="s">
        <v>35</v>
      </c>
      <c r="O17" s="57"/>
      <c r="P17" s="56"/>
      <c r="Q17" s="50"/>
      <c r="R17" s="49"/>
    </row>
    <row r="18" spans="1:18" x14ac:dyDescent="0.25">
      <c r="A18" s="53" t="s">
        <v>64</v>
      </c>
      <c r="B18" s="71" t="s">
        <v>25</v>
      </c>
      <c r="C18" s="71" t="s">
        <v>11</v>
      </c>
      <c r="D18" s="51">
        <v>527</v>
      </c>
      <c r="E18" s="55">
        <v>159</v>
      </c>
      <c r="F18" s="49"/>
      <c r="G18" s="55"/>
      <c r="H18" s="53" t="s">
        <v>64</v>
      </c>
      <c r="I18" s="76" t="s">
        <v>124</v>
      </c>
      <c r="J18" s="71" t="s">
        <v>125</v>
      </c>
      <c r="K18" s="51">
        <v>457</v>
      </c>
      <c r="L18" s="49"/>
      <c r="M18" s="49"/>
      <c r="N18" s="53" t="s">
        <v>64</v>
      </c>
      <c r="O18" s="49"/>
      <c r="P18" s="49"/>
      <c r="Q18" s="50"/>
      <c r="R18" s="49"/>
    </row>
    <row r="19" spans="1:18" x14ac:dyDescent="0.25">
      <c r="A19" s="53" t="s">
        <v>65</v>
      </c>
      <c r="B19" s="76" t="s">
        <v>99</v>
      </c>
      <c r="C19" s="76" t="s">
        <v>97</v>
      </c>
      <c r="D19" s="51">
        <v>525</v>
      </c>
      <c r="E19" s="55">
        <v>168</v>
      </c>
      <c r="F19" s="49"/>
      <c r="G19" s="55"/>
      <c r="H19" s="53" t="s">
        <v>65</v>
      </c>
      <c r="I19" s="76" t="s">
        <v>42</v>
      </c>
      <c r="J19" s="76" t="s">
        <v>107</v>
      </c>
      <c r="K19" s="51">
        <v>453</v>
      </c>
      <c r="L19" s="49"/>
      <c r="M19" s="49"/>
      <c r="N19" s="53" t="s">
        <v>65</v>
      </c>
      <c r="O19" s="49"/>
      <c r="P19" s="49"/>
      <c r="Q19" s="50"/>
      <c r="R19" s="49"/>
    </row>
    <row r="20" spans="1:18" x14ac:dyDescent="0.25">
      <c r="A20" s="53" t="s">
        <v>66</v>
      </c>
      <c r="B20" s="76" t="s">
        <v>103</v>
      </c>
      <c r="C20" s="76" t="s">
        <v>102</v>
      </c>
      <c r="D20" s="51">
        <v>525</v>
      </c>
      <c r="E20" s="55">
        <v>165</v>
      </c>
      <c r="F20" s="49"/>
      <c r="G20" s="55"/>
      <c r="H20" s="53" t="s">
        <v>66</v>
      </c>
      <c r="I20" s="71" t="s">
        <v>59</v>
      </c>
      <c r="J20" s="76" t="s">
        <v>113</v>
      </c>
      <c r="K20" s="51">
        <v>449</v>
      </c>
      <c r="L20" s="49"/>
      <c r="M20" s="49"/>
      <c r="N20" s="53" t="s">
        <v>66</v>
      </c>
      <c r="O20" s="49"/>
      <c r="P20" s="49"/>
      <c r="Q20" s="50"/>
      <c r="R20" s="49"/>
    </row>
    <row r="21" spans="1:18" x14ac:dyDescent="0.25">
      <c r="A21" s="53" t="s">
        <v>67</v>
      </c>
      <c r="B21" s="76" t="s">
        <v>100</v>
      </c>
      <c r="C21" s="76" t="s">
        <v>97</v>
      </c>
      <c r="D21" s="51">
        <v>525</v>
      </c>
      <c r="E21" s="55">
        <v>161</v>
      </c>
      <c r="F21" s="49"/>
      <c r="G21" s="55"/>
      <c r="H21" s="53" t="s">
        <v>67</v>
      </c>
      <c r="I21" s="71" t="s">
        <v>52</v>
      </c>
      <c r="J21" s="71" t="s">
        <v>125</v>
      </c>
      <c r="K21" s="51">
        <v>433</v>
      </c>
      <c r="L21" s="49"/>
      <c r="M21" s="49"/>
      <c r="N21" s="53" t="s">
        <v>67</v>
      </c>
      <c r="O21" s="56"/>
      <c r="P21" s="56"/>
      <c r="Q21" s="50"/>
      <c r="R21" s="59"/>
    </row>
    <row r="22" spans="1:18" x14ac:dyDescent="0.25">
      <c r="A22" s="53" t="s">
        <v>68</v>
      </c>
      <c r="B22" s="76" t="s">
        <v>33</v>
      </c>
      <c r="C22" s="71" t="s">
        <v>24</v>
      </c>
      <c r="D22" s="51">
        <v>525</v>
      </c>
      <c r="E22" s="55">
        <v>156</v>
      </c>
      <c r="F22" s="55"/>
      <c r="G22" s="55"/>
      <c r="H22" s="53" t="s">
        <v>68</v>
      </c>
      <c r="I22" s="71" t="s">
        <v>53</v>
      </c>
      <c r="J22" s="71" t="s">
        <v>115</v>
      </c>
      <c r="K22" s="51">
        <v>429</v>
      </c>
      <c r="L22" s="49"/>
      <c r="M22" s="49"/>
      <c r="N22" s="53" t="s">
        <v>68</v>
      </c>
      <c r="O22" s="49"/>
      <c r="P22" s="49"/>
      <c r="Q22" s="50"/>
      <c r="R22" s="59"/>
    </row>
    <row r="23" spans="1:18" x14ac:dyDescent="0.25">
      <c r="A23" s="53" t="s">
        <v>69</v>
      </c>
      <c r="B23" s="76" t="s">
        <v>95</v>
      </c>
      <c r="C23" s="71" t="s">
        <v>36</v>
      </c>
      <c r="D23" s="51">
        <v>523</v>
      </c>
      <c r="E23" s="55">
        <v>158</v>
      </c>
      <c r="F23" s="55"/>
      <c r="G23" s="55"/>
      <c r="H23" s="53" t="s">
        <v>69</v>
      </c>
      <c r="I23" s="71" t="s">
        <v>45</v>
      </c>
      <c r="J23" s="71" t="s">
        <v>46</v>
      </c>
      <c r="K23" s="51">
        <v>420</v>
      </c>
      <c r="L23" s="49"/>
      <c r="M23" s="49"/>
      <c r="N23" s="53" t="s">
        <v>69</v>
      </c>
      <c r="O23" s="56"/>
      <c r="P23" s="56"/>
      <c r="Q23" s="50"/>
      <c r="R23" s="49"/>
    </row>
    <row r="24" spans="1:18" x14ac:dyDescent="0.25">
      <c r="A24" s="53" t="s">
        <v>70</v>
      </c>
      <c r="B24" s="76" t="s">
        <v>101</v>
      </c>
      <c r="C24" s="76" t="s">
        <v>97</v>
      </c>
      <c r="D24" s="51">
        <v>523</v>
      </c>
      <c r="E24" s="55">
        <v>157</v>
      </c>
      <c r="F24" s="49"/>
      <c r="G24" s="55"/>
      <c r="H24" s="53" t="s">
        <v>70</v>
      </c>
      <c r="I24" s="71" t="s">
        <v>57</v>
      </c>
      <c r="J24" s="76" t="s">
        <v>113</v>
      </c>
      <c r="K24" s="51">
        <v>343</v>
      </c>
      <c r="L24" s="49"/>
      <c r="M24" s="49"/>
      <c r="N24" s="53" t="s">
        <v>70</v>
      </c>
      <c r="O24" s="49"/>
      <c r="P24" s="49"/>
      <c r="Q24" s="50"/>
      <c r="R24" s="49"/>
    </row>
    <row r="25" spans="1:18" x14ac:dyDescent="0.25">
      <c r="A25" s="53" t="s">
        <v>71</v>
      </c>
      <c r="B25" s="71" t="s">
        <v>128</v>
      </c>
      <c r="C25" s="76" t="s">
        <v>130</v>
      </c>
      <c r="D25" s="51">
        <v>515</v>
      </c>
      <c r="E25" s="55">
        <v>165</v>
      </c>
      <c r="F25" s="49"/>
      <c r="G25" s="55"/>
      <c r="H25" s="53" t="s">
        <v>71</v>
      </c>
      <c r="I25" s="66" t="s">
        <v>56</v>
      </c>
      <c r="J25" s="76" t="s">
        <v>113</v>
      </c>
      <c r="K25" s="51">
        <v>332</v>
      </c>
      <c r="L25" s="49"/>
      <c r="M25" s="49"/>
      <c r="N25" s="53" t="s">
        <v>71</v>
      </c>
      <c r="O25" s="49"/>
      <c r="P25" s="49"/>
      <c r="Q25" s="50"/>
      <c r="R25" s="49"/>
    </row>
    <row r="26" spans="1:18" x14ac:dyDescent="0.25">
      <c r="A26" s="53" t="s">
        <v>72</v>
      </c>
      <c r="B26" s="71" t="s">
        <v>131</v>
      </c>
      <c r="C26" s="71" t="s">
        <v>31</v>
      </c>
      <c r="D26" s="51">
        <v>515</v>
      </c>
      <c r="E26" s="55">
        <v>156</v>
      </c>
      <c r="F26" s="55"/>
      <c r="G26" s="55"/>
      <c r="H26" s="53"/>
      <c r="L26" s="49"/>
      <c r="M26" s="49"/>
      <c r="N26" s="53"/>
      <c r="O26" s="49"/>
      <c r="P26" s="49"/>
      <c r="Q26" s="49"/>
      <c r="R26" s="49"/>
    </row>
    <row r="27" spans="1:18" x14ac:dyDescent="0.25">
      <c r="A27" s="53" t="s">
        <v>73</v>
      </c>
      <c r="B27" s="71" t="s">
        <v>18</v>
      </c>
      <c r="C27" s="76" t="s">
        <v>15</v>
      </c>
      <c r="D27" s="51">
        <v>514</v>
      </c>
      <c r="F27" s="55"/>
      <c r="G27" s="49"/>
      <c r="H27" s="53"/>
      <c r="L27" s="49"/>
      <c r="M27" s="49"/>
      <c r="N27" s="49"/>
      <c r="O27" s="49"/>
      <c r="P27" s="49"/>
      <c r="Q27" s="61"/>
      <c r="R27" s="49"/>
    </row>
    <row r="28" spans="1:18" x14ac:dyDescent="0.25">
      <c r="A28" s="53" t="s">
        <v>74</v>
      </c>
      <c r="B28" s="71" t="s">
        <v>112</v>
      </c>
      <c r="C28" s="71" t="s">
        <v>24</v>
      </c>
      <c r="D28" s="51">
        <v>512</v>
      </c>
      <c r="F28" s="49"/>
      <c r="G28" s="49"/>
      <c r="H28" s="53"/>
      <c r="K28" s="111">
        <f>AVERAGE(K7:K27)</f>
        <v>463.68421052631578</v>
      </c>
      <c r="L28" s="49"/>
      <c r="M28" s="49"/>
      <c r="N28" s="49"/>
      <c r="O28" s="49"/>
      <c r="P28" s="49"/>
      <c r="Q28" s="49"/>
      <c r="R28" s="49"/>
    </row>
    <row r="29" spans="1:18" x14ac:dyDescent="0.25">
      <c r="A29" s="53" t="s">
        <v>75</v>
      </c>
      <c r="B29" s="76" t="s">
        <v>134</v>
      </c>
      <c r="C29" s="76" t="s">
        <v>132</v>
      </c>
      <c r="D29" s="51">
        <v>510</v>
      </c>
      <c r="F29" s="55"/>
      <c r="G29" s="49"/>
      <c r="H29" s="53"/>
      <c r="I29" s="49"/>
      <c r="J29" s="49"/>
      <c r="K29" s="51"/>
      <c r="L29" s="55"/>
      <c r="M29" s="49"/>
      <c r="N29" s="49"/>
      <c r="O29" s="49"/>
      <c r="P29" s="49"/>
      <c r="Q29" s="49"/>
      <c r="R29" s="49"/>
    </row>
    <row r="30" spans="1:18" x14ac:dyDescent="0.25">
      <c r="A30" s="53" t="s">
        <v>76</v>
      </c>
      <c r="B30" s="71" t="s">
        <v>38</v>
      </c>
      <c r="C30" s="71" t="s">
        <v>36</v>
      </c>
      <c r="D30" s="51">
        <v>509</v>
      </c>
      <c r="E30" s="55"/>
      <c r="F30" s="49"/>
      <c r="G30" s="49"/>
      <c r="H30" s="53"/>
      <c r="I30" s="49"/>
      <c r="J30" s="49"/>
      <c r="K30" s="51"/>
      <c r="L30" s="55"/>
      <c r="M30" s="49"/>
      <c r="N30" s="49"/>
      <c r="O30" s="49"/>
      <c r="P30" s="49"/>
      <c r="Q30" s="49"/>
      <c r="R30" s="49"/>
    </row>
    <row r="31" spans="1:18" x14ac:dyDescent="0.25">
      <c r="A31" s="53" t="s">
        <v>77</v>
      </c>
      <c r="B31" s="71" t="s">
        <v>30</v>
      </c>
      <c r="C31" s="71" t="s">
        <v>31</v>
      </c>
      <c r="D31" s="51">
        <v>508</v>
      </c>
      <c r="F31" s="49"/>
      <c r="G31" s="49"/>
      <c r="H31" s="53"/>
      <c r="I31" s="56"/>
      <c r="J31" s="56"/>
      <c r="K31" s="51"/>
      <c r="L31" s="49"/>
      <c r="M31" s="49"/>
      <c r="N31" s="49"/>
      <c r="O31" s="49"/>
      <c r="P31" s="49"/>
      <c r="Q31" s="49"/>
      <c r="R31" s="49"/>
    </row>
    <row r="32" spans="1:18" x14ac:dyDescent="0.25">
      <c r="A32" s="53" t="s">
        <v>78</v>
      </c>
      <c r="B32" s="71" t="s">
        <v>111</v>
      </c>
      <c r="C32" s="71" t="s">
        <v>15</v>
      </c>
      <c r="D32" s="51">
        <v>506</v>
      </c>
      <c r="F32" s="55"/>
      <c r="G32" s="49"/>
      <c r="H32" s="53"/>
      <c r="I32" s="56"/>
      <c r="J32" s="56"/>
      <c r="K32" s="51"/>
      <c r="L32" s="55"/>
      <c r="M32" s="49"/>
      <c r="N32" s="49"/>
      <c r="O32" s="49"/>
      <c r="P32" s="49"/>
      <c r="Q32" s="49"/>
      <c r="R32" s="49"/>
    </row>
    <row r="33" spans="1:12" x14ac:dyDescent="0.25">
      <c r="A33" s="53" t="s">
        <v>79</v>
      </c>
      <c r="B33" s="71" t="s">
        <v>37</v>
      </c>
      <c r="C33" s="71" t="s">
        <v>36</v>
      </c>
      <c r="D33" s="51">
        <v>507</v>
      </c>
      <c r="E33" s="49">
        <v>184</v>
      </c>
      <c r="F33" s="55"/>
      <c r="G33" s="49"/>
      <c r="H33" s="53"/>
      <c r="I33" s="49"/>
      <c r="J33" s="49"/>
      <c r="K33" s="51"/>
      <c r="L33" s="55"/>
    </row>
    <row r="34" spans="1:12" x14ac:dyDescent="0.25">
      <c r="A34" s="53" t="s">
        <v>80</v>
      </c>
      <c r="B34" s="71" t="s">
        <v>34</v>
      </c>
      <c r="C34" s="71" t="s">
        <v>31</v>
      </c>
      <c r="D34" s="51">
        <v>507</v>
      </c>
      <c r="E34" s="49">
        <v>160</v>
      </c>
      <c r="F34" s="55"/>
      <c r="G34" s="49"/>
      <c r="H34" s="53"/>
      <c r="I34" s="56"/>
      <c r="J34" s="56"/>
      <c r="K34" s="51"/>
      <c r="L34" s="49"/>
    </row>
    <row r="35" spans="1:12" x14ac:dyDescent="0.25">
      <c r="A35" s="53" t="s">
        <v>81</v>
      </c>
      <c r="B35" s="76" t="s">
        <v>116</v>
      </c>
      <c r="C35" s="76" t="s">
        <v>15</v>
      </c>
      <c r="D35" s="51">
        <v>502</v>
      </c>
      <c r="F35" s="55"/>
      <c r="G35" s="49"/>
      <c r="H35" s="53"/>
      <c r="I35" s="49"/>
      <c r="J35" s="49"/>
      <c r="K35" s="51"/>
      <c r="L35" s="49"/>
    </row>
    <row r="36" spans="1:12" x14ac:dyDescent="0.25">
      <c r="A36" s="53" t="s">
        <v>82</v>
      </c>
      <c r="B36" s="76" t="s">
        <v>127</v>
      </c>
      <c r="C36" s="76" t="s">
        <v>130</v>
      </c>
      <c r="D36" s="51">
        <v>501</v>
      </c>
      <c r="F36" s="49"/>
      <c r="G36" s="49"/>
      <c r="H36" s="53"/>
      <c r="I36" s="56"/>
      <c r="J36" s="49"/>
      <c r="K36" s="62"/>
      <c r="L36" s="49"/>
    </row>
    <row r="37" spans="1:12" x14ac:dyDescent="0.25">
      <c r="A37" s="53" t="s">
        <v>83</v>
      </c>
      <c r="B37" s="76" t="s">
        <v>122</v>
      </c>
      <c r="C37" s="76" t="s">
        <v>118</v>
      </c>
      <c r="D37" s="51">
        <v>498</v>
      </c>
      <c r="F37" s="49"/>
      <c r="G37" s="49"/>
      <c r="H37" s="53"/>
      <c r="L37" s="49"/>
    </row>
    <row r="38" spans="1:12" x14ac:dyDescent="0.25">
      <c r="A38" s="53" t="s">
        <v>84</v>
      </c>
      <c r="B38" s="76" t="s">
        <v>98</v>
      </c>
      <c r="C38" s="76" t="s">
        <v>97</v>
      </c>
      <c r="D38" s="51">
        <v>494</v>
      </c>
      <c r="E38" s="55">
        <v>156</v>
      </c>
      <c r="F38" s="55"/>
      <c r="G38" s="49"/>
      <c r="H38" s="53"/>
      <c r="I38" s="49"/>
      <c r="J38" s="49"/>
      <c r="K38" s="49"/>
      <c r="L38" s="49"/>
    </row>
    <row r="39" spans="1:12" x14ac:dyDescent="0.25">
      <c r="A39" s="53" t="s">
        <v>85</v>
      </c>
      <c r="B39" s="76" t="s">
        <v>28</v>
      </c>
      <c r="C39" s="71" t="s">
        <v>24</v>
      </c>
      <c r="D39" s="51">
        <v>494</v>
      </c>
      <c r="E39" s="55">
        <v>144</v>
      </c>
      <c r="F39" s="49"/>
      <c r="G39" s="49"/>
      <c r="H39" s="49"/>
      <c r="I39" s="49"/>
      <c r="J39" s="49"/>
      <c r="K39" s="63"/>
      <c r="L39" s="49"/>
    </row>
    <row r="40" spans="1:12" x14ac:dyDescent="0.25">
      <c r="A40" s="53" t="s">
        <v>86</v>
      </c>
      <c r="B40" s="76" t="s">
        <v>133</v>
      </c>
      <c r="C40" s="76" t="s">
        <v>132</v>
      </c>
      <c r="D40" s="51">
        <v>477</v>
      </c>
      <c r="E40" s="49"/>
      <c r="F40" s="55"/>
      <c r="G40" s="49"/>
      <c r="H40" s="49"/>
      <c r="I40" s="57"/>
      <c r="J40" s="57"/>
      <c r="K40" s="49"/>
      <c r="L40" s="49"/>
    </row>
    <row r="41" spans="1:12" x14ac:dyDescent="0.25">
      <c r="A41" s="53" t="s">
        <v>87</v>
      </c>
      <c r="B41" s="76" t="s">
        <v>121</v>
      </c>
      <c r="C41" s="76" t="s">
        <v>118</v>
      </c>
      <c r="D41" s="51">
        <v>470</v>
      </c>
      <c r="E41" s="55"/>
      <c r="F41" s="55"/>
      <c r="G41" s="49"/>
      <c r="H41" s="49"/>
      <c r="I41" s="57"/>
      <c r="J41" s="57"/>
      <c r="K41" s="49"/>
      <c r="L41" s="49"/>
    </row>
    <row r="42" spans="1:12" x14ac:dyDescent="0.25">
      <c r="A42" s="53" t="s">
        <v>88</v>
      </c>
      <c r="B42" s="76" t="s">
        <v>119</v>
      </c>
      <c r="C42" s="76" t="s">
        <v>118</v>
      </c>
      <c r="D42" s="51">
        <v>459</v>
      </c>
      <c r="E42" s="55"/>
      <c r="F42" s="55"/>
      <c r="G42" s="49"/>
      <c r="H42" s="49"/>
      <c r="I42" s="57"/>
      <c r="J42" s="57"/>
      <c r="K42" s="49"/>
      <c r="L42" s="49"/>
    </row>
    <row r="43" spans="1:12" x14ac:dyDescent="0.25">
      <c r="A43" s="53" t="s">
        <v>89</v>
      </c>
      <c r="B43" s="76" t="s">
        <v>50</v>
      </c>
      <c r="C43" s="76" t="s">
        <v>132</v>
      </c>
      <c r="D43" s="51">
        <v>446</v>
      </c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53" t="s">
        <v>90</v>
      </c>
      <c r="B44" s="71" t="s">
        <v>96</v>
      </c>
      <c r="C44" s="71" t="s">
        <v>36</v>
      </c>
      <c r="D44" s="51">
        <v>448</v>
      </c>
      <c r="E44" s="49"/>
      <c r="F44" s="55"/>
      <c r="G44" s="49"/>
      <c r="H44" s="49"/>
      <c r="I44" s="49"/>
      <c r="J44" s="49"/>
      <c r="K44" s="49"/>
      <c r="L44" s="49"/>
    </row>
    <row r="45" spans="1:12" x14ac:dyDescent="0.25">
      <c r="A45" s="53" t="s">
        <v>91</v>
      </c>
      <c r="B45" s="76" t="s">
        <v>120</v>
      </c>
      <c r="C45" s="76" t="s">
        <v>118</v>
      </c>
      <c r="D45" s="51">
        <v>390</v>
      </c>
      <c r="E45" s="49"/>
      <c r="F45" s="55"/>
      <c r="G45" s="49"/>
      <c r="H45" s="49"/>
      <c r="I45" s="49"/>
      <c r="J45" s="49"/>
      <c r="K45" s="49"/>
      <c r="L45" s="49"/>
    </row>
    <row r="46" spans="1:12" x14ac:dyDescent="0.25">
      <c r="A46" s="53" t="s">
        <v>92</v>
      </c>
      <c r="B46" s="76" t="s">
        <v>106</v>
      </c>
      <c r="C46" s="76" t="s">
        <v>102</v>
      </c>
      <c r="D46" s="116" t="s">
        <v>138</v>
      </c>
      <c r="E46" s="49"/>
      <c r="F46" s="55"/>
      <c r="G46" s="49"/>
      <c r="H46" s="49"/>
      <c r="I46" s="49"/>
      <c r="J46" s="49"/>
      <c r="K46" s="49"/>
      <c r="L46" s="49"/>
    </row>
    <row r="47" spans="1:12" x14ac:dyDescent="0.25">
      <c r="A47" s="53" t="s">
        <v>93</v>
      </c>
      <c r="B47" s="76" t="s">
        <v>17</v>
      </c>
      <c r="C47" s="76" t="s">
        <v>15</v>
      </c>
      <c r="D47" s="116" t="s">
        <v>137</v>
      </c>
      <c r="F47" s="49"/>
      <c r="G47" s="49"/>
      <c r="H47" s="49"/>
      <c r="I47" s="49"/>
      <c r="J47" s="49"/>
      <c r="K47" s="49"/>
      <c r="L47" s="49"/>
    </row>
    <row r="48" spans="1:12" x14ac:dyDescent="0.25">
      <c r="A48" s="53"/>
      <c r="F48" s="49"/>
      <c r="G48" s="49"/>
      <c r="H48" s="49"/>
      <c r="I48" s="49"/>
      <c r="J48" s="49"/>
      <c r="K48" s="49"/>
      <c r="L48" s="49"/>
    </row>
    <row r="49" spans="1:6" x14ac:dyDescent="0.25">
      <c r="A49" s="49"/>
      <c r="B49" s="49"/>
      <c r="C49" s="49"/>
      <c r="D49" s="111">
        <f>AVERAGE(D7:D48)</f>
        <v>513.84615384615381</v>
      </c>
      <c r="E49" s="49"/>
      <c r="F49" s="49"/>
    </row>
    <row r="53" spans="1:6" x14ac:dyDescent="0.25">
      <c r="A53" s="49"/>
      <c r="B53" s="49"/>
      <c r="C53" s="49"/>
      <c r="D53" s="49"/>
      <c r="E53" s="55"/>
      <c r="F53" s="4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L18" sqref="L18"/>
    </sheetView>
  </sheetViews>
  <sheetFormatPr defaultRowHeight="15" x14ac:dyDescent="0.25"/>
  <cols>
    <col min="1" max="1" width="4.7109375" customWidth="1"/>
    <col min="2" max="2" width="18" customWidth="1"/>
    <col min="3" max="3" width="16.140625" customWidth="1"/>
    <col min="4" max="4" width="5.85546875" customWidth="1"/>
    <col min="5" max="5" width="5.42578125" customWidth="1"/>
    <col min="6" max="6" width="4.7109375" customWidth="1"/>
    <col min="7" max="7" width="19.28515625" customWidth="1"/>
    <col min="8" max="8" width="15.140625" customWidth="1"/>
    <col min="9" max="9" width="6.7109375" customWidth="1"/>
    <col min="10" max="10" width="4.7109375" customWidth="1"/>
    <col min="11" max="11" width="5" customWidth="1"/>
    <col min="12" max="12" width="18.42578125" customWidth="1"/>
    <col min="13" max="13" width="11" customWidth="1"/>
    <col min="14" max="14" width="6.7109375" customWidth="1"/>
  </cols>
  <sheetData>
    <row r="1" spans="1:14" ht="18.75" x14ac:dyDescent="0.3">
      <c r="A1" s="66"/>
      <c r="B1" s="4" t="s">
        <v>39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5.2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x14ac:dyDescent="0.25">
      <c r="A3" s="66"/>
      <c r="B3" s="67" t="s">
        <v>94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5.2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ht="18.75" x14ac:dyDescent="0.3">
      <c r="A5" s="66"/>
      <c r="B5" s="66"/>
      <c r="C5" s="115" t="s">
        <v>61</v>
      </c>
      <c r="D5" s="66"/>
      <c r="E5" s="78"/>
      <c r="F5" s="69"/>
      <c r="G5" s="69"/>
      <c r="H5" s="115" t="s">
        <v>62</v>
      </c>
      <c r="I5" s="66"/>
      <c r="J5" s="66"/>
      <c r="K5" s="69"/>
      <c r="L5" s="69"/>
      <c r="M5" s="115" t="s">
        <v>63</v>
      </c>
      <c r="N5" s="66"/>
    </row>
    <row r="6" spans="1:14" ht="3.75" customHeight="1" x14ac:dyDescent="0.25">
      <c r="A6" s="66"/>
      <c r="B6" s="71"/>
      <c r="C6" s="71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x14ac:dyDescent="0.25">
      <c r="A7" s="70" t="s">
        <v>7</v>
      </c>
      <c r="B7" s="71" t="s">
        <v>10</v>
      </c>
      <c r="C7" s="71" t="s">
        <v>11</v>
      </c>
      <c r="D7" s="109">
        <v>1117</v>
      </c>
      <c r="E7" s="66"/>
      <c r="F7" s="70" t="s">
        <v>7</v>
      </c>
      <c r="G7" s="71" t="s">
        <v>41</v>
      </c>
      <c r="H7" s="76" t="s">
        <v>107</v>
      </c>
      <c r="I7" s="109">
        <v>1009</v>
      </c>
      <c r="J7" s="79"/>
      <c r="K7" s="70" t="s">
        <v>7</v>
      </c>
      <c r="L7" s="71" t="s">
        <v>108</v>
      </c>
      <c r="M7" s="35" t="s">
        <v>110</v>
      </c>
      <c r="N7" s="109">
        <v>1009</v>
      </c>
    </row>
    <row r="8" spans="1:14" x14ac:dyDescent="0.25">
      <c r="A8" s="66"/>
      <c r="B8" s="71" t="s">
        <v>12</v>
      </c>
      <c r="C8" s="71" t="s">
        <v>11</v>
      </c>
      <c r="D8" s="109"/>
      <c r="E8" s="66"/>
      <c r="F8" s="70"/>
      <c r="G8" s="76" t="s">
        <v>42</v>
      </c>
      <c r="H8" s="76" t="s">
        <v>107</v>
      </c>
      <c r="I8" s="109"/>
      <c r="J8" s="79"/>
      <c r="K8" s="70"/>
      <c r="L8" s="76" t="s">
        <v>109</v>
      </c>
      <c r="M8" s="84" t="s">
        <v>110</v>
      </c>
      <c r="N8" s="109"/>
    </row>
    <row r="9" spans="1:14" x14ac:dyDescent="0.25">
      <c r="A9" s="70" t="s">
        <v>8</v>
      </c>
      <c r="B9" s="76" t="s">
        <v>117</v>
      </c>
      <c r="C9" s="76" t="s">
        <v>15</v>
      </c>
      <c r="D9" s="109">
        <v>1108</v>
      </c>
      <c r="E9" s="66"/>
      <c r="F9" s="70" t="s">
        <v>8</v>
      </c>
      <c r="G9" s="76" t="s">
        <v>43</v>
      </c>
      <c r="H9" s="76" t="s">
        <v>107</v>
      </c>
      <c r="I9" s="109">
        <v>995</v>
      </c>
      <c r="J9" s="66"/>
      <c r="K9" s="70" t="s">
        <v>8</v>
      </c>
      <c r="L9" s="71" t="s">
        <v>51</v>
      </c>
      <c r="M9" s="71" t="s">
        <v>115</v>
      </c>
      <c r="N9" s="109">
        <v>917</v>
      </c>
    </row>
    <row r="10" spans="1:14" x14ac:dyDescent="0.25">
      <c r="A10" s="66"/>
      <c r="B10" s="76" t="s">
        <v>16</v>
      </c>
      <c r="C10" s="76" t="s">
        <v>15</v>
      </c>
      <c r="D10" s="109"/>
      <c r="E10" s="66"/>
      <c r="F10" s="70"/>
      <c r="G10" s="71" t="s">
        <v>44</v>
      </c>
      <c r="H10" s="76" t="s">
        <v>107</v>
      </c>
      <c r="I10" s="109"/>
      <c r="J10" s="66"/>
      <c r="K10" s="70"/>
      <c r="L10" s="71" t="s">
        <v>54</v>
      </c>
      <c r="M10" s="71" t="s">
        <v>115</v>
      </c>
      <c r="N10" s="109"/>
    </row>
    <row r="11" spans="1:14" x14ac:dyDescent="0.25">
      <c r="A11" s="70" t="s">
        <v>9</v>
      </c>
      <c r="B11" s="76" t="s">
        <v>103</v>
      </c>
      <c r="C11" s="76" t="s">
        <v>102</v>
      </c>
      <c r="D11" s="109">
        <v>1092</v>
      </c>
      <c r="E11" s="66"/>
      <c r="F11" s="70" t="s">
        <v>9</v>
      </c>
      <c r="G11" s="71" t="s">
        <v>47</v>
      </c>
      <c r="H11" s="71" t="s">
        <v>46</v>
      </c>
      <c r="I11" s="109">
        <v>981</v>
      </c>
      <c r="J11" s="66"/>
      <c r="K11" s="70"/>
      <c r="L11" s="66"/>
      <c r="M11" s="66"/>
      <c r="N11" s="109"/>
    </row>
    <row r="12" spans="1:14" x14ac:dyDescent="0.25">
      <c r="A12" s="66"/>
      <c r="B12" s="76" t="s">
        <v>104</v>
      </c>
      <c r="C12" s="76" t="s">
        <v>102</v>
      </c>
      <c r="D12" s="109"/>
      <c r="E12" s="66"/>
      <c r="F12" s="70"/>
      <c r="G12" s="76" t="s">
        <v>126</v>
      </c>
      <c r="H12" s="71" t="s">
        <v>46</v>
      </c>
      <c r="I12" s="109"/>
      <c r="J12" s="66"/>
      <c r="K12" s="70"/>
      <c r="L12" s="66"/>
      <c r="M12" s="66"/>
      <c r="N12" s="109"/>
    </row>
    <row r="13" spans="1:14" x14ac:dyDescent="0.25">
      <c r="A13" s="70" t="s">
        <v>13</v>
      </c>
      <c r="B13" s="76" t="s">
        <v>127</v>
      </c>
      <c r="C13" s="76" t="s">
        <v>130</v>
      </c>
      <c r="D13" s="109">
        <v>1075</v>
      </c>
      <c r="E13" s="66"/>
      <c r="F13" s="70" t="s">
        <v>13</v>
      </c>
      <c r="G13" s="71" t="s">
        <v>55</v>
      </c>
      <c r="H13" s="71" t="s">
        <v>125</v>
      </c>
      <c r="I13" s="109">
        <v>961</v>
      </c>
      <c r="J13" s="66"/>
      <c r="K13" s="70"/>
      <c r="L13" s="66"/>
      <c r="M13" s="66"/>
      <c r="N13" s="109"/>
    </row>
    <row r="14" spans="1:14" x14ac:dyDescent="0.25">
      <c r="A14" s="66"/>
      <c r="B14" s="76" t="s">
        <v>20</v>
      </c>
      <c r="C14" s="76" t="s">
        <v>130</v>
      </c>
      <c r="D14" s="109"/>
      <c r="E14" s="66"/>
      <c r="F14" s="70"/>
      <c r="G14" s="76" t="s">
        <v>124</v>
      </c>
      <c r="H14" s="71" t="s">
        <v>125</v>
      </c>
      <c r="I14" s="109"/>
      <c r="J14" s="66"/>
      <c r="K14" s="70"/>
      <c r="L14" s="66"/>
      <c r="M14" s="66"/>
      <c r="N14" s="109"/>
    </row>
    <row r="15" spans="1:14" x14ac:dyDescent="0.25">
      <c r="A15" s="70" t="s">
        <v>14</v>
      </c>
      <c r="B15" s="71" t="s">
        <v>23</v>
      </c>
      <c r="C15" s="71" t="s">
        <v>11</v>
      </c>
      <c r="D15" s="109">
        <v>1074</v>
      </c>
      <c r="E15" s="66"/>
      <c r="F15" s="70" t="s">
        <v>14</v>
      </c>
      <c r="G15" s="71" t="s">
        <v>58</v>
      </c>
      <c r="H15" s="76" t="s">
        <v>113</v>
      </c>
      <c r="I15" s="109">
        <v>940</v>
      </c>
      <c r="K15" s="70"/>
      <c r="L15" s="71"/>
      <c r="M15" s="71"/>
      <c r="N15" s="109"/>
    </row>
    <row r="16" spans="1:14" x14ac:dyDescent="0.25">
      <c r="A16" s="66"/>
      <c r="B16" s="71" t="s">
        <v>25</v>
      </c>
      <c r="C16" s="71" t="s">
        <v>11</v>
      </c>
      <c r="D16" s="109"/>
      <c r="E16" s="66"/>
      <c r="F16" s="70"/>
      <c r="G16" s="71" t="s">
        <v>59</v>
      </c>
      <c r="H16" s="76" t="s">
        <v>113</v>
      </c>
      <c r="I16" s="109"/>
      <c r="K16" s="70"/>
      <c r="L16" s="76"/>
      <c r="M16" s="71"/>
      <c r="N16" s="109"/>
    </row>
    <row r="17" spans="1:14" x14ac:dyDescent="0.25">
      <c r="A17" s="70" t="s">
        <v>19</v>
      </c>
      <c r="B17" s="71" t="s">
        <v>128</v>
      </c>
      <c r="C17" s="76" t="s">
        <v>130</v>
      </c>
      <c r="D17" s="109">
        <v>1057</v>
      </c>
      <c r="F17" s="70" t="s">
        <v>19</v>
      </c>
      <c r="G17" s="71" t="s">
        <v>123</v>
      </c>
      <c r="H17" s="71" t="s">
        <v>125</v>
      </c>
      <c r="I17" s="109">
        <v>904</v>
      </c>
      <c r="J17" s="87">
        <v>281</v>
      </c>
      <c r="K17" s="70"/>
      <c r="L17" s="71"/>
      <c r="M17" s="71"/>
      <c r="N17" s="109"/>
    </row>
    <row r="18" spans="1:14" x14ac:dyDescent="0.25">
      <c r="A18" s="66"/>
      <c r="B18" s="71" t="s">
        <v>129</v>
      </c>
      <c r="C18" s="76" t="s">
        <v>130</v>
      </c>
      <c r="D18" s="109"/>
      <c r="F18" s="70"/>
      <c r="G18" s="71" t="s">
        <v>52</v>
      </c>
      <c r="H18" s="71" t="s">
        <v>125</v>
      </c>
      <c r="I18" s="109"/>
      <c r="J18" s="59"/>
      <c r="K18" s="70"/>
      <c r="L18" s="71"/>
      <c r="M18" s="71"/>
      <c r="N18" s="109"/>
    </row>
    <row r="19" spans="1:14" x14ac:dyDescent="0.25">
      <c r="A19" s="70" t="s">
        <v>22</v>
      </c>
      <c r="B19" s="76" t="s">
        <v>100</v>
      </c>
      <c r="C19" s="76" t="s">
        <v>97</v>
      </c>
      <c r="D19" s="109">
        <v>1048</v>
      </c>
      <c r="F19" s="70" t="s">
        <v>22</v>
      </c>
      <c r="G19" s="71" t="s">
        <v>53</v>
      </c>
      <c r="H19" s="71" t="s">
        <v>115</v>
      </c>
      <c r="I19" s="109">
        <v>904</v>
      </c>
      <c r="J19" s="87">
        <v>246</v>
      </c>
      <c r="K19" s="70"/>
      <c r="L19" s="71"/>
      <c r="M19" s="71"/>
      <c r="N19" s="109"/>
    </row>
    <row r="20" spans="1:14" x14ac:dyDescent="0.25">
      <c r="A20" s="66"/>
      <c r="B20" s="76" t="s">
        <v>101</v>
      </c>
      <c r="C20" s="76" t="s">
        <v>97</v>
      </c>
      <c r="D20" s="109"/>
      <c r="F20" s="70"/>
      <c r="G20" s="76" t="s">
        <v>114</v>
      </c>
      <c r="H20" s="71" t="s">
        <v>115</v>
      </c>
      <c r="I20" s="109"/>
      <c r="J20" s="66"/>
      <c r="K20" s="70"/>
      <c r="L20" s="71"/>
      <c r="M20" s="71"/>
      <c r="N20" s="109"/>
    </row>
    <row r="21" spans="1:14" x14ac:dyDescent="0.25">
      <c r="A21" s="70" t="s">
        <v>26</v>
      </c>
      <c r="B21" s="76" t="s">
        <v>134</v>
      </c>
      <c r="C21" s="76" t="s">
        <v>132</v>
      </c>
      <c r="D21" s="109">
        <v>1038</v>
      </c>
      <c r="F21" s="70" t="s">
        <v>26</v>
      </c>
      <c r="G21" s="71" t="s">
        <v>45</v>
      </c>
      <c r="H21" s="71" t="s">
        <v>46</v>
      </c>
      <c r="I21" s="109">
        <v>898</v>
      </c>
      <c r="J21" s="66"/>
      <c r="K21" s="70"/>
      <c r="N21" s="66"/>
    </row>
    <row r="22" spans="1:14" x14ac:dyDescent="0.25">
      <c r="A22" s="66"/>
      <c r="B22" s="76" t="s">
        <v>135</v>
      </c>
      <c r="C22" s="76" t="s">
        <v>132</v>
      </c>
      <c r="D22" s="109"/>
      <c r="F22" s="70"/>
      <c r="G22" s="76" t="s">
        <v>49</v>
      </c>
      <c r="H22" s="71" t="s">
        <v>46</v>
      </c>
      <c r="I22" s="109"/>
      <c r="J22" s="66"/>
      <c r="K22" s="66"/>
      <c r="N22" s="66"/>
    </row>
    <row r="23" spans="1:14" x14ac:dyDescent="0.25">
      <c r="A23" s="70" t="s">
        <v>27</v>
      </c>
      <c r="B23" s="76" t="s">
        <v>28</v>
      </c>
      <c r="C23" s="71" t="s">
        <v>24</v>
      </c>
      <c r="D23" s="109">
        <f>543+494</f>
        <v>1037</v>
      </c>
      <c r="E23" s="89">
        <v>324</v>
      </c>
      <c r="F23" s="70" t="s">
        <v>27</v>
      </c>
      <c r="G23" s="66" t="s">
        <v>56</v>
      </c>
      <c r="H23" s="76" t="s">
        <v>113</v>
      </c>
      <c r="I23" s="109">
        <v>675</v>
      </c>
      <c r="K23" s="70"/>
      <c r="L23" s="66"/>
      <c r="M23" s="66"/>
      <c r="N23" s="66"/>
    </row>
    <row r="24" spans="1:14" x14ac:dyDescent="0.25">
      <c r="A24" s="66"/>
      <c r="B24" s="71" t="s">
        <v>48</v>
      </c>
      <c r="C24" s="71" t="s">
        <v>24</v>
      </c>
      <c r="D24" s="109"/>
      <c r="E24" s="83"/>
      <c r="F24" s="70"/>
      <c r="G24" s="71" t="s">
        <v>57</v>
      </c>
      <c r="H24" s="76" t="s">
        <v>113</v>
      </c>
      <c r="I24" s="109"/>
      <c r="K24" s="66"/>
      <c r="L24" s="66"/>
      <c r="M24" s="66"/>
      <c r="N24" s="66"/>
    </row>
    <row r="25" spans="1:14" x14ac:dyDescent="0.25">
      <c r="A25" s="70" t="s">
        <v>29</v>
      </c>
      <c r="B25" s="76" t="s">
        <v>33</v>
      </c>
      <c r="C25" s="71" t="s">
        <v>24</v>
      </c>
      <c r="D25" s="109">
        <v>1037</v>
      </c>
      <c r="E25" s="87">
        <v>313</v>
      </c>
      <c r="F25" s="70"/>
      <c r="J25" s="66"/>
      <c r="K25" s="68"/>
      <c r="L25" s="66"/>
      <c r="M25" s="66"/>
      <c r="N25" s="66"/>
    </row>
    <row r="26" spans="1:14" x14ac:dyDescent="0.25">
      <c r="A26" s="66"/>
      <c r="B26" s="71" t="s">
        <v>112</v>
      </c>
      <c r="C26" s="71" t="s">
        <v>24</v>
      </c>
      <c r="D26" s="109"/>
      <c r="E26" s="66"/>
      <c r="F26" s="70"/>
      <c r="J26" s="79"/>
      <c r="K26" s="66"/>
      <c r="L26" s="66"/>
      <c r="M26" s="66"/>
      <c r="N26" s="66"/>
    </row>
    <row r="27" spans="1:14" x14ac:dyDescent="0.25">
      <c r="A27" s="70" t="s">
        <v>35</v>
      </c>
      <c r="B27" s="71" t="s">
        <v>30</v>
      </c>
      <c r="C27" s="71" t="s">
        <v>31</v>
      </c>
      <c r="D27" s="109">
        <v>1035</v>
      </c>
      <c r="F27" s="70"/>
      <c r="G27" s="71"/>
      <c r="H27" s="71"/>
      <c r="I27" s="109"/>
      <c r="J27" s="79"/>
      <c r="K27" s="66"/>
      <c r="L27" s="66"/>
      <c r="M27" s="66"/>
      <c r="N27" s="66"/>
    </row>
    <row r="28" spans="1:14" x14ac:dyDescent="0.25">
      <c r="A28" s="66"/>
      <c r="B28" s="71" t="s">
        <v>32</v>
      </c>
      <c r="C28" s="71" t="s">
        <v>31</v>
      </c>
      <c r="D28" s="109"/>
      <c r="F28" s="70"/>
      <c r="G28" s="71"/>
      <c r="H28" s="71"/>
      <c r="I28" s="109"/>
      <c r="J28" s="79"/>
      <c r="K28" s="66"/>
      <c r="L28" s="66"/>
      <c r="M28" s="66"/>
      <c r="N28" s="66"/>
    </row>
    <row r="29" spans="1:14" x14ac:dyDescent="0.25">
      <c r="A29" s="70" t="s">
        <v>64</v>
      </c>
      <c r="B29" s="71" t="s">
        <v>131</v>
      </c>
      <c r="C29" s="71" t="s">
        <v>31</v>
      </c>
      <c r="D29" s="109">
        <v>1022</v>
      </c>
      <c r="F29" s="70"/>
      <c r="J29" s="79"/>
      <c r="K29" s="66"/>
      <c r="L29" s="66"/>
      <c r="M29" s="66"/>
      <c r="N29" s="66"/>
    </row>
    <row r="30" spans="1:14" x14ac:dyDescent="0.25">
      <c r="A30" s="66"/>
      <c r="B30" s="71" t="s">
        <v>34</v>
      </c>
      <c r="C30" s="71" t="s">
        <v>31</v>
      </c>
      <c r="D30" s="109"/>
      <c r="F30" s="70"/>
      <c r="J30" s="79"/>
      <c r="K30" s="66"/>
      <c r="L30" s="66"/>
      <c r="M30" s="66"/>
      <c r="N30" s="66"/>
    </row>
    <row r="31" spans="1:14" x14ac:dyDescent="0.25">
      <c r="A31" s="70" t="s">
        <v>65</v>
      </c>
      <c r="B31" s="76" t="s">
        <v>98</v>
      </c>
      <c r="C31" s="76" t="s">
        <v>97</v>
      </c>
      <c r="D31" s="109">
        <v>1019</v>
      </c>
      <c r="E31" s="66"/>
      <c r="F31" s="70"/>
      <c r="H31" s="71"/>
      <c r="I31" s="109"/>
      <c r="J31" s="66"/>
      <c r="K31" s="66"/>
      <c r="L31" s="66"/>
      <c r="M31" s="66"/>
      <c r="N31" s="66"/>
    </row>
    <row r="32" spans="1:14" x14ac:dyDescent="0.25">
      <c r="A32" s="66"/>
      <c r="B32" s="76" t="s">
        <v>99</v>
      </c>
      <c r="C32" s="76" t="s">
        <v>97</v>
      </c>
      <c r="D32" s="109"/>
      <c r="E32" s="66"/>
      <c r="F32" s="70"/>
      <c r="G32" s="76"/>
      <c r="H32" s="71"/>
      <c r="I32" s="109"/>
      <c r="J32" s="66"/>
      <c r="K32" s="66"/>
      <c r="L32" s="66"/>
      <c r="M32" s="66"/>
      <c r="N32" s="66"/>
    </row>
    <row r="33" spans="1:10" x14ac:dyDescent="0.25">
      <c r="A33" s="70" t="s">
        <v>66</v>
      </c>
      <c r="B33" s="66" t="s">
        <v>38</v>
      </c>
      <c r="C33" s="66" t="s">
        <v>36</v>
      </c>
      <c r="D33" s="109">
        <v>1016</v>
      </c>
      <c r="E33" s="87">
        <v>329</v>
      </c>
      <c r="F33" s="70"/>
      <c r="G33" s="71"/>
      <c r="H33" s="71"/>
      <c r="I33" s="82"/>
      <c r="J33" s="66"/>
    </row>
    <row r="34" spans="1:10" x14ac:dyDescent="0.25">
      <c r="A34" s="66"/>
      <c r="B34" s="71" t="s">
        <v>37</v>
      </c>
      <c r="C34" s="66" t="s">
        <v>36</v>
      </c>
      <c r="D34" s="109"/>
      <c r="E34" s="66"/>
      <c r="F34" s="70"/>
      <c r="J34" s="79"/>
    </row>
    <row r="35" spans="1:10" x14ac:dyDescent="0.25">
      <c r="A35" s="70" t="s">
        <v>67</v>
      </c>
      <c r="B35" s="76" t="s">
        <v>116</v>
      </c>
      <c r="C35" s="76" t="s">
        <v>15</v>
      </c>
      <c r="D35" s="109">
        <v>1016</v>
      </c>
      <c r="E35" s="87">
        <v>317</v>
      </c>
      <c r="F35" s="70"/>
      <c r="J35" s="79"/>
    </row>
    <row r="36" spans="1:10" x14ac:dyDescent="0.25">
      <c r="A36" s="66"/>
      <c r="B36" s="71" t="s">
        <v>18</v>
      </c>
      <c r="C36" s="76" t="s">
        <v>15</v>
      </c>
      <c r="D36" s="109"/>
      <c r="E36" s="66"/>
      <c r="F36" s="70"/>
      <c r="G36" s="66"/>
      <c r="H36" s="66"/>
      <c r="I36" s="82"/>
      <c r="J36" s="79"/>
    </row>
    <row r="37" spans="1:10" x14ac:dyDescent="0.25">
      <c r="A37" s="70" t="s">
        <v>68</v>
      </c>
      <c r="B37" s="76" t="s">
        <v>95</v>
      </c>
      <c r="C37" s="66" t="s">
        <v>36</v>
      </c>
      <c r="D37" s="109">
        <v>971</v>
      </c>
      <c r="E37" s="66"/>
      <c r="F37" s="70"/>
      <c r="G37" s="66"/>
      <c r="H37" s="66"/>
      <c r="I37" s="109"/>
      <c r="J37" s="66"/>
    </row>
    <row r="38" spans="1:10" x14ac:dyDescent="0.25">
      <c r="A38" s="66"/>
      <c r="B38" s="71" t="s">
        <v>96</v>
      </c>
      <c r="C38" s="71" t="s">
        <v>36</v>
      </c>
      <c r="D38" s="109"/>
      <c r="E38" s="66"/>
      <c r="F38" s="70"/>
      <c r="G38" s="71"/>
      <c r="H38" s="66"/>
      <c r="I38" s="109"/>
      <c r="J38" s="66"/>
    </row>
    <row r="39" spans="1:10" x14ac:dyDescent="0.25">
      <c r="A39" s="70" t="s">
        <v>69</v>
      </c>
      <c r="B39" s="76" t="s">
        <v>121</v>
      </c>
      <c r="C39" s="76" t="s">
        <v>118</v>
      </c>
      <c r="D39" s="109">
        <v>968</v>
      </c>
      <c r="E39" s="66"/>
      <c r="F39" s="70"/>
      <c r="G39" s="66"/>
      <c r="H39" s="66"/>
      <c r="I39" s="66"/>
      <c r="J39" s="66"/>
    </row>
    <row r="40" spans="1:10" x14ac:dyDescent="0.25">
      <c r="A40" s="66"/>
      <c r="B40" s="76" t="s">
        <v>122</v>
      </c>
      <c r="C40" s="76" t="s">
        <v>118</v>
      </c>
      <c r="D40" s="109"/>
      <c r="E40" s="66"/>
      <c r="F40" s="66"/>
      <c r="G40" s="66"/>
      <c r="H40" s="66"/>
      <c r="I40" s="66"/>
      <c r="J40" s="66"/>
    </row>
    <row r="41" spans="1:10" x14ac:dyDescent="0.25">
      <c r="A41" s="70" t="s">
        <v>70</v>
      </c>
      <c r="B41" s="76" t="s">
        <v>133</v>
      </c>
      <c r="C41" s="76" t="s">
        <v>132</v>
      </c>
      <c r="D41" s="109">
        <v>923</v>
      </c>
      <c r="E41" s="66"/>
      <c r="F41" s="68"/>
      <c r="G41" s="66"/>
      <c r="H41" s="66"/>
      <c r="I41" s="66"/>
      <c r="J41" s="66"/>
    </row>
    <row r="42" spans="1:10" x14ac:dyDescent="0.25">
      <c r="A42" s="66"/>
      <c r="B42" s="76" t="s">
        <v>50</v>
      </c>
      <c r="C42" s="76" t="s">
        <v>132</v>
      </c>
      <c r="D42" s="109"/>
      <c r="E42" s="66"/>
      <c r="F42" s="66"/>
      <c r="G42" s="66"/>
      <c r="H42" s="66"/>
      <c r="I42" s="66"/>
      <c r="J42" s="66"/>
    </row>
    <row r="43" spans="1:10" x14ac:dyDescent="0.25">
      <c r="A43" s="70" t="s">
        <v>71</v>
      </c>
      <c r="B43" s="76" t="s">
        <v>105</v>
      </c>
      <c r="C43" s="76" t="s">
        <v>102</v>
      </c>
      <c r="D43" s="109">
        <v>910</v>
      </c>
      <c r="E43" s="66"/>
      <c r="F43" s="66"/>
      <c r="G43" s="76"/>
      <c r="H43" s="76"/>
      <c r="I43" s="66"/>
      <c r="J43" s="66"/>
    </row>
    <row r="44" spans="1:10" x14ac:dyDescent="0.25">
      <c r="A44" s="66"/>
      <c r="B44" s="76" t="s">
        <v>106</v>
      </c>
      <c r="C44" s="76" t="s">
        <v>102</v>
      </c>
      <c r="D44" s="109"/>
      <c r="E44" s="66"/>
      <c r="F44" s="66"/>
      <c r="G44" s="76"/>
      <c r="H44" s="76"/>
      <c r="I44" s="66"/>
      <c r="J44" s="66"/>
    </row>
    <row r="45" spans="1:10" x14ac:dyDescent="0.25">
      <c r="A45" s="70" t="s">
        <v>72</v>
      </c>
      <c r="B45" s="76" t="s">
        <v>119</v>
      </c>
      <c r="C45" s="76" t="s">
        <v>118</v>
      </c>
      <c r="D45" s="109">
        <v>849</v>
      </c>
      <c r="E45" s="66"/>
      <c r="F45" s="66"/>
      <c r="G45" s="66"/>
      <c r="H45" s="66"/>
      <c r="I45" s="66"/>
      <c r="J45" s="66"/>
    </row>
    <row r="46" spans="1:10" x14ac:dyDescent="0.25">
      <c r="A46" s="66"/>
      <c r="B46" s="76" t="s">
        <v>120</v>
      </c>
      <c r="C46" s="76" t="s">
        <v>118</v>
      </c>
      <c r="D46" s="109"/>
      <c r="E46" s="66"/>
      <c r="F46" s="66"/>
      <c r="G46" s="66"/>
      <c r="H46" s="66"/>
      <c r="I46" s="66"/>
      <c r="J46" s="66"/>
    </row>
    <row r="47" spans="1:10" x14ac:dyDescent="0.25">
      <c r="A47" s="70" t="s">
        <v>73</v>
      </c>
      <c r="B47" s="71" t="s">
        <v>111</v>
      </c>
      <c r="C47" s="71" t="s">
        <v>15</v>
      </c>
      <c r="D47" s="109">
        <v>757</v>
      </c>
      <c r="E47" s="66"/>
      <c r="F47" s="66"/>
      <c r="G47" s="66"/>
      <c r="H47" s="66"/>
      <c r="I47" s="66"/>
      <c r="J47" s="66"/>
    </row>
    <row r="48" spans="1:10" x14ac:dyDescent="0.25">
      <c r="A48" s="66"/>
      <c r="B48" s="76" t="s">
        <v>17</v>
      </c>
      <c r="C48" s="76" t="s">
        <v>15</v>
      </c>
      <c r="D48" s="109"/>
      <c r="E48" s="66"/>
      <c r="F48" s="66"/>
      <c r="G48" s="66"/>
      <c r="H48" s="66"/>
      <c r="I48" s="66"/>
      <c r="J48" s="66"/>
    </row>
    <row r="49" spans="1:4" x14ac:dyDescent="0.25">
      <c r="A49" s="70"/>
    </row>
    <row r="50" spans="1:4" x14ac:dyDescent="0.25">
      <c r="A50" s="66"/>
    </row>
    <row r="51" spans="1:4" x14ac:dyDescent="0.25">
      <c r="A51" s="70"/>
    </row>
    <row r="52" spans="1:4" x14ac:dyDescent="0.25">
      <c r="A52" s="66"/>
    </row>
    <row r="59" spans="1:4" x14ac:dyDescent="0.25">
      <c r="A59" s="66"/>
      <c r="B59" s="71"/>
      <c r="C59" s="71"/>
      <c r="D59" s="109"/>
    </row>
    <row r="60" spans="1:4" x14ac:dyDescent="0.25">
      <c r="A60" s="66"/>
      <c r="B60" s="71"/>
      <c r="C60" s="71"/>
      <c r="D60" s="109"/>
    </row>
    <row r="63" spans="1:4" x14ac:dyDescent="0.25">
      <c r="A63" s="66"/>
      <c r="B63" s="71"/>
      <c r="C63" s="71"/>
      <c r="D63" s="109"/>
    </row>
    <row r="64" spans="1:4" x14ac:dyDescent="0.25">
      <c r="A64" s="66"/>
      <c r="B64" s="71"/>
      <c r="C64" s="71"/>
      <c r="D64" s="109"/>
    </row>
    <row r="67" spans="2:4" x14ac:dyDescent="0.25">
      <c r="B67" s="76"/>
      <c r="C67" s="76"/>
      <c r="D67" s="109"/>
    </row>
    <row r="68" spans="2:4" x14ac:dyDescent="0.25">
      <c r="B68" s="71"/>
      <c r="C68" s="76"/>
      <c r="D68" s="109"/>
    </row>
    <row r="69" spans="2:4" x14ac:dyDescent="0.25">
      <c r="B69" s="76"/>
      <c r="C69" s="76"/>
      <c r="D69" s="66"/>
    </row>
    <row r="70" spans="2:4" x14ac:dyDescent="0.25">
      <c r="B70" s="76"/>
      <c r="C70" s="76"/>
      <c r="D70" s="66"/>
    </row>
  </sheetData>
  <mergeCells count="43">
    <mergeCell ref="N19:N20"/>
    <mergeCell ref="D9:D10"/>
    <mergeCell ref="D15:D16"/>
    <mergeCell ref="D35:D36"/>
    <mergeCell ref="D33:D34"/>
    <mergeCell ref="D19:D20"/>
    <mergeCell ref="D13:D14"/>
    <mergeCell ref="I13:I14"/>
    <mergeCell ref="I11:I12"/>
    <mergeCell ref="N17:N18"/>
    <mergeCell ref="N15:N16"/>
    <mergeCell ref="I23:I24"/>
    <mergeCell ref="I21:I22"/>
    <mergeCell ref="D47:D48"/>
    <mergeCell ref="I15:I16"/>
    <mergeCell ref="I37:I38"/>
    <mergeCell ref="D25:D26"/>
    <mergeCell ref="D23:D24"/>
    <mergeCell ref="D31:D32"/>
    <mergeCell ref="I31:I32"/>
    <mergeCell ref="I17:I18"/>
    <mergeCell ref="I19:I20"/>
    <mergeCell ref="I27:I28"/>
    <mergeCell ref="D7:D8"/>
    <mergeCell ref="N11:N12"/>
    <mergeCell ref="I9:I10"/>
    <mergeCell ref="N9:N10"/>
    <mergeCell ref="N13:N14"/>
    <mergeCell ref="D11:D12"/>
    <mergeCell ref="N7:N8"/>
    <mergeCell ref="I7:I8"/>
    <mergeCell ref="D67:D68"/>
    <mergeCell ref="D63:D64"/>
    <mergeCell ref="D59:D60"/>
    <mergeCell ref="D27:D28"/>
    <mergeCell ref="D17:D18"/>
    <mergeCell ref="D45:D46"/>
    <mergeCell ref="D29:D30"/>
    <mergeCell ref="D39:D40"/>
    <mergeCell ref="D43:D44"/>
    <mergeCell ref="D41:D42"/>
    <mergeCell ref="D21:D22"/>
    <mergeCell ref="D37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ig.csapat</vt:lpstr>
      <vt:lpstr>am.csapat</vt:lpstr>
      <vt:lpstr>egyéni</vt:lpstr>
      <vt:lpstr>páros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2022-08-25T12:42:55Z</dcterms:created>
  <dcterms:modified xsi:type="dcterms:W3CDTF">2022-08-29T17:44:44Z</dcterms:modified>
</cp:coreProperties>
</file>